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nniespary/Library/Mobile Documents/com~apple~CloudDocs/Documents/SUCo-SA/Facebook posts/2022 SUCo-SA FB/Nov 2022 SUCo-SA/Cop19 papers/12 November 2022 CITEs hippo/"/>
    </mc:Choice>
  </mc:AlternateContent>
  <xr:revisionPtr revIDLastSave="0" documentId="8_{0E28460A-042D-9D49-8D5C-A9BBADF61A13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7" i="1" l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Z76" i="1"/>
  <c r="Y76" i="1"/>
  <c r="X76" i="1"/>
  <c r="Z75" i="1"/>
  <c r="Y75" i="1"/>
  <c r="X75" i="1"/>
  <c r="Z74" i="1"/>
  <c r="Y74" i="1"/>
  <c r="X74" i="1"/>
  <c r="Z73" i="1"/>
  <c r="Y73" i="1"/>
  <c r="X73" i="1"/>
  <c r="Z72" i="1"/>
  <c r="Y72" i="1"/>
  <c r="X72" i="1"/>
  <c r="Z71" i="1"/>
  <c r="Y71" i="1"/>
  <c r="X71" i="1"/>
  <c r="V76" i="1"/>
  <c r="U76" i="1"/>
  <c r="T76" i="1"/>
  <c r="V75" i="1"/>
  <c r="U75" i="1"/>
  <c r="T75" i="1"/>
  <c r="V74" i="1"/>
  <c r="U74" i="1"/>
  <c r="T74" i="1"/>
  <c r="U73" i="1"/>
  <c r="T73" i="1"/>
  <c r="V72" i="1"/>
  <c r="U72" i="1"/>
  <c r="T72" i="1"/>
  <c r="V71" i="1"/>
  <c r="U71" i="1"/>
  <c r="T71" i="1"/>
  <c r="P76" i="1"/>
  <c r="P75" i="1"/>
  <c r="P74" i="1"/>
  <c r="P73" i="1"/>
  <c r="Q72" i="1"/>
  <c r="P72" i="1"/>
  <c r="R71" i="1"/>
  <c r="Q71" i="1"/>
  <c r="P71" i="1"/>
  <c r="N76" i="1"/>
  <c r="M76" i="1"/>
  <c r="L76" i="1"/>
  <c r="N75" i="1"/>
  <c r="M75" i="1"/>
  <c r="L75" i="1"/>
  <c r="N74" i="1"/>
  <c r="M74" i="1"/>
  <c r="L74" i="1"/>
  <c r="N73" i="1"/>
  <c r="M73" i="1"/>
  <c r="L73" i="1"/>
  <c r="N72" i="1"/>
  <c r="M72" i="1"/>
  <c r="L72" i="1"/>
  <c r="N71" i="1"/>
  <c r="M71" i="1"/>
  <c r="L71" i="1"/>
  <c r="J76" i="1"/>
  <c r="I76" i="1"/>
  <c r="H76" i="1"/>
  <c r="J75" i="1"/>
  <c r="I75" i="1"/>
  <c r="H75" i="1"/>
  <c r="J74" i="1"/>
  <c r="I74" i="1"/>
  <c r="H74" i="1"/>
  <c r="J73" i="1"/>
  <c r="I73" i="1"/>
  <c r="H73" i="1"/>
  <c r="J72" i="1"/>
  <c r="I72" i="1"/>
  <c r="H72" i="1"/>
  <c r="J71" i="1"/>
  <c r="I71" i="1"/>
  <c r="H71" i="1"/>
  <c r="E72" i="1"/>
  <c r="F71" i="1"/>
  <c r="E71" i="1"/>
  <c r="D76" i="1"/>
  <c r="D75" i="1"/>
  <c r="D74" i="1"/>
  <c r="D73" i="1"/>
  <c r="D71" i="1"/>
  <c r="D72" i="1"/>
  <c r="R52" i="1"/>
  <c r="Q52" i="1"/>
  <c r="R51" i="1"/>
  <c r="G61" i="1"/>
  <c r="Q51" i="1"/>
  <c r="R50" i="1"/>
  <c r="Q50" i="1"/>
  <c r="R49" i="1"/>
  <c r="Q49" i="1"/>
  <c r="R48" i="1"/>
  <c r="Q48" i="1"/>
  <c r="R47" i="1"/>
  <c r="Q47" i="1"/>
  <c r="R46" i="1"/>
  <c r="Q46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Q36" i="1"/>
  <c r="R36" i="1"/>
  <c r="R35" i="1"/>
  <c r="Q35" i="1"/>
  <c r="R34" i="1"/>
  <c r="Q34" i="1"/>
  <c r="R33" i="1"/>
  <c r="Q33" i="1"/>
  <c r="R31" i="1"/>
  <c r="R32" i="1"/>
  <c r="Q32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Q23" i="1"/>
  <c r="R23" i="1"/>
  <c r="R22" i="1"/>
  <c r="Q22" i="1"/>
  <c r="R21" i="1"/>
  <c r="R20" i="1"/>
  <c r="R19" i="1"/>
  <c r="R18" i="1"/>
  <c r="R16" i="1"/>
  <c r="V29" i="1"/>
  <c r="V25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F33" i="1"/>
  <c r="F32" i="1"/>
  <c r="Q75" i="1" l="1"/>
  <c r="E74" i="1"/>
  <c r="E75" i="1"/>
  <c r="V73" i="1"/>
  <c r="R75" i="1"/>
  <c r="E76" i="1"/>
  <c r="F74" i="1"/>
  <c r="R72" i="1"/>
  <c r="Q74" i="1"/>
  <c r="F76" i="1"/>
  <c r="Q73" i="1"/>
  <c r="R73" i="1"/>
  <c r="Q76" i="1"/>
  <c r="R76" i="1"/>
  <c r="F75" i="1"/>
  <c r="R74" i="1"/>
  <c r="F31" i="1"/>
  <c r="G31" i="1" s="1"/>
  <c r="H59" i="1"/>
  <c r="F30" i="1"/>
  <c r="G30" i="1" s="1"/>
  <c r="H61" i="1"/>
  <c r="F29" i="1"/>
  <c r="G29" i="1" s="1"/>
  <c r="H58" i="1"/>
  <c r="F28" i="1"/>
  <c r="G28" i="1" s="1"/>
  <c r="F27" i="1"/>
  <c r="E27" i="1"/>
  <c r="F26" i="1"/>
  <c r="E26" i="1"/>
  <c r="F25" i="1"/>
  <c r="E25" i="1"/>
  <c r="F24" i="1"/>
  <c r="G24" i="1" s="1"/>
  <c r="F23" i="1"/>
  <c r="G23" i="1" s="1"/>
  <c r="F22" i="1"/>
  <c r="H60" i="1"/>
  <c r="E22" i="1"/>
  <c r="F21" i="1"/>
  <c r="G21" i="1" s="1"/>
  <c r="F20" i="1"/>
  <c r="G20" i="1" s="1"/>
  <c r="H57" i="1"/>
  <c r="F19" i="1"/>
  <c r="G19" i="1" s="1"/>
  <c r="F18" i="1"/>
  <c r="G18" i="1" s="1"/>
  <c r="F17" i="1"/>
  <c r="G17" i="1" s="1"/>
  <c r="F16" i="1"/>
  <c r="AA11" i="1"/>
  <c r="W11" i="1"/>
  <c r="S11" i="1"/>
  <c r="O11" i="1"/>
  <c r="K11" i="1"/>
  <c r="G11" i="1"/>
  <c r="AA10" i="1"/>
  <c r="W10" i="1"/>
  <c r="S10" i="1"/>
  <c r="O10" i="1"/>
  <c r="K10" i="1"/>
  <c r="G10" i="1"/>
  <c r="AA9" i="1"/>
  <c r="W9" i="1"/>
  <c r="S9" i="1"/>
  <c r="O9" i="1"/>
  <c r="K9" i="1"/>
  <c r="G9" i="1"/>
  <c r="AA8" i="1"/>
  <c r="W8" i="1"/>
  <c r="S8" i="1"/>
  <c r="O8" i="1"/>
  <c r="K8" i="1"/>
  <c r="G8" i="1"/>
  <c r="AA7" i="1"/>
  <c r="W7" i="1"/>
  <c r="S7" i="1"/>
  <c r="O7" i="1"/>
  <c r="K7" i="1"/>
  <c r="G7" i="1"/>
  <c r="AA6" i="1"/>
  <c r="W6" i="1"/>
  <c r="S6" i="1"/>
  <c r="O6" i="1"/>
  <c r="K6" i="1"/>
  <c r="G6" i="1"/>
  <c r="AA21" i="1"/>
  <c r="W21" i="1"/>
  <c r="S21" i="1"/>
  <c r="O21" i="1"/>
  <c r="K21" i="1"/>
  <c r="AA20" i="1"/>
  <c r="W20" i="1"/>
  <c r="S20" i="1"/>
  <c r="O20" i="1"/>
  <c r="K20" i="1"/>
  <c r="AA19" i="1"/>
  <c r="W19" i="1"/>
  <c r="S19" i="1"/>
  <c r="O19" i="1"/>
  <c r="K19" i="1"/>
  <c r="AA18" i="1"/>
  <c r="W18" i="1"/>
  <c r="S18" i="1"/>
  <c r="O18" i="1"/>
  <c r="K18" i="1"/>
  <c r="AA17" i="1"/>
  <c r="W17" i="1"/>
  <c r="S17" i="1"/>
  <c r="O17" i="1"/>
  <c r="K17" i="1"/>
  <c r="AA16" i="1"/>
  <c r="W16" i="1"/>
  <c r="S16" i="1"/>
  <c r="O16" i="1"/>
  <c r="K16" i="1"/>
  <c r="AA15" i="1"/>
  <c r="W15" i="1"/>
  <c r="S15" i="1"/>
  <c r="O15" i="1"/>
  <c r="K15" i="1"/>
  <c r="G15" i="1"/>
  <c r="AA14" i="1"/>
  <c r="W14" i="1"/>
  <c r="S14" i="1"/>
  <c r="O14" i="1"/>
  <c r="K14" i="1"/>
  <c r="G14" i="1"/>
  <c r="AA13" i="1"/>
  <c r="W13" i="1"/>
  <c r="S13" i="1"/>
  <c r="O13" i="1"/>
  <c r="K13" i="1"/>
  <c r="G13" i="1"/>
  <c r="AA12" i="1"/>
  <c r="W12" i="1"/>
  <c r="S12" i="1"/>
  <c r="O12" i="1"/>
  <c r="K12" i="1"/>
  <c r="G12" i="1"/>
  <c r="AA27" i="1"/>
  <c r="W27" i="1"/>
  <c r="S27" i="1"/>
  <c r="O27" i="1"/>
  <c r="K27" i="1"/>
  <c r="AA26" i="1"/>
  <c r="W26" i="1"/>
  <c r="S26" i="1"/>
  <c r="O26" i="1"/>
  <c r="K26" i="1"/>
  <c r="AA25" i="1"/>
  <c r="W25" i="1"/>
  <c r="S25" i="1"/>
  <c r="O25" i="1"/>
  <c r="K25" i="1"/>
  <c r="AA24" i="1"/>
  <c r="W24" i="1"/>
  <c r="S24" i="1"/>
  <c r="O24" i="1"/>
  <c r="K24" i="1"/>
  <c r="AA23" i="1"/>
  <c r="W23" i="1"/>
  <c r="S23" i="1"/>
  <c r="O23" i="1"/>
  <c r="K23" i="1"/>
  <c r="AA22" i="1"/>
  <c r="W22" i="1"/>
  <c r="S22" i="1"/>
  <c r="O22" i="1"/>
  <c r="K22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75" i="1" l="1"/>
  <c r="G22" i="1"/>
  <c r="W73" i="1"/>
  <c r="W72" i="1"/>
  <c r="O73" i="1"/>
  <c r="G25" i="1"/>
  <c r="G26" i="1"/>
  <c r="O75" i="1"/>
  <c r="S74" i="1"/>
  <c r="K72" i="1"/>
  <c r="K73" i="1"/>
  <c r="O72" i="1"/>
  <c r="AA75" i="1"/>
  <c r="S76" i="1"/>
  <c r="S73" i="1"/>
  <c r="S72" i="1"/>
  <c r="AA72" i="1"/>
  <c r="G16" i="1"/>
  <c r="G72" i="1" s="1"/>
  <c r="F72" i="1"/>
  <c r="AA76" i="1"/>
  <c r="G71" i="1"/>
  <c r="AA73" i="1"/>
  <c r="W75" i="1"/>
  <c r="AA74" i="1"/>
  <c r="K71" i="1"/>
  <c r="O76" i="1"/>
  <c r="G75" i="1"/>
  <c r="O71" i="1"/>
  <c r="S71" i="1"/>
  <c r="O74" i="1"/>
  <c r="K76" i="1"/>
  <c r="W71" i="1"/>
  <c r="K74" i="1"/>
  <c r="AA71" i="1"/>
  <c r="E73" i="1"/>
  <c r="S75" i="1"/>
  <c r="W76" i="1"/>
  <c r="W74" i="1"/>
  <c r="G76" i="1"/>
  <c r="G74" i="1"/>
  <c r="F73" i="1"/>
  <c r="G27" i="1"/>
  <c r="G73" i="1" l="1"/>
</calcChain>
</file>

<file path=xl/sharedStrings.xml><?xml version="1.0" encoding="utf-8"?>
<sst xmlns="http://schemas.openxmlformats.org/spreadsheetml/2006/main" count="102" uniqueCount="80">
  <si>
    <t>YEAR</t>
  </si>
  <si>
    <t>REGION</t>
  </si>
  <si>
    <t>North Afr</t>
  </si>
  <si>
    <t>West Afr</t>
  </si>
  <si>
    <t>East Afr</t>
  </si>
  <si>
    <t>Central Afr</t>
  </si>
  <si>
    <t>Sthn Afr</t>
  </si>
  <si>
    <t>Live</t>
  </si>
  <si>
    <t>Trophy</t>
  </si>
  <si>
    <t>Product</t>
  </si>
  <si>
    <t>Subtotal</t>
  </si>
  <si>
    <t>TOTAL</t>
  </si>
  <si>
    <t>Total</t>
  </si>
  <si>
    <t>SOUTH AFRICA</t>
  </si>
  <si>
    <t>HIPPO EXPORTS recorded on CITES</t>
  </si>
  <si>
    <t>Kg</t>
  </si>
  <si>
    <t>Skin</t>
  </si>
  <si>
    <t>m2</t>
  </si>
  <si>
    <t>Trophies</t>
  </si>
  <si>
    <t>Trophy/ Skull</t>
  </si>
  <si>
    <t xml:space="preserve">Trophy/ Skull </t>
  </si>
  <si>
    <t>Teeth</t>
  </si>
  <si>
    <t>South Africa</t>
  </si>
  <si>
    <t>CITES III 1975-1994</t>
  </si>
  <si>
    <t>CITES II 1995+</t>
  </si>
  <si>
    <t>Ft2</t>
  </si>
  <si>
    <t>Western Sahara</t>
  </si>
  <si>
    <t>Morocco</t>
  </si>
  <si>
    <t>Algeria</t>
  </si>
  <si>
    <t>Tunisia</t>
  </si>
  <si>
    <t>Libya</t>
  </si>
  <si>
    <t>Egypt</t>
  </si>
  <si>
    <t>Sudan</t>
  </si>
  <si>
    <t>Nigeria</t>
  </si>
  <si>
    <t>Benin</t>
  </si>
  <si>
    <t>Togo</t>
  </si>
  <si>
    <t>Ghana</t>
  </si>
  <si>
    <t>Burkina Faso</t>
  </si>
  <si>
    <t>Mali</t>
  </si>
  <si>
    <t>Cote Divoire</t>
  </si>
  <si>
    <t>Liberia</t>
  </si>
  <si>
    <t>Sierra Leone</t>
  </si>
  <si>
    <t>Guinea</t>
  </si>
  <si>
    <t>Guinea-Bissau</t>
  </si>
  <si>
    <t>Gambia</t>
  </si>
  <si>
    <t>Senegal</t>
  </si>
  <si>
    <t>Mauritania</t>
  </si>
  <si>
    <t>Eritrea</t>
  </si>
  <si>
    <t>Djibouti</t>
  </si>
  <si>
    <t>Ethiopia</t>
  </si>
  <si>
    <t>South Sudan</t>
  </si>
  <si>
    <t>Uganda</t>
  </si>
  <si>
    <t>Kenya</t>
  </si>
  <si>
    <t>Somalia</t>
  </si>
  <si>
    <t>Rwanda</t>
  </si>
  <si>
    <t>Burundi</t>
  </si>
  <si>
    <t>Tanzania</t>
  </si>
  <si>
    <t>Malawi</t>
  </si>
  <si>
    <t>Zambia</t>
  </si>
  <si>
    <t>Chad</t>
  </si>
  <si>
    <t>C ameroon</t>
  </si>
  <si>
    <t>Central African Republic</t>
  </si>
  <si>
    <t>Equatorial Guinea</t>
  </si>
  <si>
    <t>Gabon</t>
  </si>
  <si>
    <t>Congo</t>
  </si>
  <si>
    <t>Democratic Republic of the Congo</t>
  </si>
  <si>
    <t>Angola</t>
  </si>
  <si>
    <t>Namibia</t>
  </si>
  <si>
    <t>Botswana</t>
  </si>
  <si>
    <t>Zimbabwe</t>
  </si>
  <si>
    <t>Mozambique</t>
  </si>
  <si>
    <t>Swaziland</t>
  </si>
  <si>
    <t>Lesotho</t>
  </si>
  <si>
    <t>`15</t>
  </si>
  <si>
    <t>1975-1980</t>
  </si>
  <si>
    <t>1981-1990</t>
  </si>
  <si>
    <t>1991-2000</t>
  </si>
  <si>
    <t>2001-2010</t>
  </si>
  <si>
    <t>2011-2015</t>
  </si>
  <si>
    <t>2016-2022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</si>
</sst>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5" xfId="0" applyBorder="1"/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2" borderId="20" xfId="0" applyNumberFormat="1" applyFont="1" applyFill="1" applyBorder="1"/>
    <xf numFmtId="3" fontId="1" fillId="2" borderId="8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0" xfId="0" applyFill="1"/>
    <xf numFmtId="0" fontId="0" fillId="3" borderId="0" xfId="0" applyFill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3" fontId="1" fillId="2" borderId="20" xfId="0" applyNumberFormat="1" applyFont="1" applyFill="1" applyBorder="1" applyAlignment="1">
      <alignment horizontal="center" vertical="center"/>
    </xf>
    <xf numFmtId="0" fontId="1" fillId="0" borderId="16" xfId="0" applyFont="1" applyBorder="1"/>
    <xf numFmtId="3" fontId="1" fillId="0" borderId="7" xfId="0" applyNumberFormat="1" applyFont="1" applyBorder="1"/>
    <xf numFmtId="3" fontId="1" fillId="0" borderId="7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1" xfId="0" applyFill="1" applyBorder="1"/>
    <xf numFmtId="3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 AFRICA (Trophy &amp; Skull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5"/>
            <c:dispRSqr val="1"/>
            <c:dispEq val="0"/>
            <c:trendlineLbl>
              <c:layout>
                <c:manualLayout>
                  <c:x val="-0.39386308363252881"/>
                  <c:y val="-0.276354406723767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Sheet1!$E$13:$E$52</c:f>
              <c:numCache>
                <c:formatCode>#,##0</c:formatCode>
                <c:ptCount val="40"/>
                <c:pt idx="3">
                  <c:v>6</c:v>
                </c:pt>
                <c:pt idx="4">
                  <c:v>6</c:v>
                </c:pt>
                <c:pt idx="5">
                  <c:v>1</c:v>
                </c:pt>
                <c:pt idx="6">
                  <c:v>16</c:v>
                </c:pt>
                <c:pt idx="7">
                  <c:v>30</c:v>
                </c:pt>
                <c:pt idx="8">
                  <c:v>3</c:v>
                </c:pt>
                <c:pt idx="9">
                  <c:v>59</c:v>
                </c:pt>
                <c:pt idx="10">
                  <c:v>37</c:v>
                </c:pt>
                <c:pt idx="11">
                  <c:v>49</c:v>
                </c:pt>
                <c:pt idx="12">
                  <c:v>38</c:v>
                </c:pt>
                <c:pt idx="13">
                  <c:v>34</c:v>
                </c:pt>
                <c:pt idx="14">
                  <c:v>31</c:v>
                </c:pt>
                <c:pt idx="15">
                  <c:v>27</c:v>
                </c:pt>
                <c:pt idx="16">
                  <c:v>34</c:v>
                </c:pt>
                <c:pt idx="17">
                  <c:v>45</c:v>
                </c:pt>
                <c:pt idx="18">
                  <c:v>73</c:v>
                </c:pt>
                <c:pt idx="19">
                  <c:v>56</c:v>
                </c:pt>
                <c:pt idx="20">
                  <c:v>81</c:v>
                </c:pt>
                <c:pt idx="21">
                  <c:v>108</c:v>
                </c:pt>
                <c:pt idx="22">
                  <c:v>105</c:v>
                </c:pt>
                <c:pt idx="23">
                  <c:v>116</c:v>
                </c:pt>
                <c:pt idx="24">
                  <c:v>218</c:v>
                </c:pt>
                <c:pt idx="25">
                  <c:v>132</c:v>
                </c:pt>
                <c:pt idx="26">
                  <c:v>158</c:v>
                </c:pt>
                <c:pt idx="27">
                  <c:v>196</c:v>
                </c:pt>
                <c:pt idx="28">
                  <c:v>206</c:v>
                </c:pt>
                <c:pt idx="29">
                  <c:v>229</c:v>
                </c:pt>
                <c:pt idx="30">
                  <c:v>156</c:v>
                </c:pt>
                <c:pt idx="31">
                  <c:v>236</c:v>
                </c:pt>
                <c:pt idx="32">
                  <c:v>569</c:v>
                </c:pt>
                <c:pt idx="33">
                  <c:v>217</c:v>
                </c:pt>
                <c:pt idx="34">
                  <c:v>251</c:v>
                </c:pt>
                <c:pt idx="35">
                  <c:v>311</c:v>
                </c:pt>
                <c:pt idx="36">
                  <c:v>184</c:v>
                </c:pt>
                <c:pt idx="37">
                  <c:v>473</c:v>
                </c:pt>
                <c:pt idx="38">
                  <c:v>185</c:v>
                </c:pt>
                <c:pt idx="3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E-4C61-8850-ED6434254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NORTH AFRICA (Live</a:t>
            </a:r>
            <a:r>
              <a:rPr lang="en-US" baseline="0"/>
              <a:t> Animal</a:t>
            </a:r>
            <a:r>
              <a:rPr lang="en-US"/>
              <a:t>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Sheet1!$H$13:$H$52</c:f>
              <c:numCache>
                <c:formatCode>#,##0</c:formatCode>
                <c:ptCount val="40"/>
                <c:pt idx="15">
                  <c:v>1</c:v>
                </c:pt>
                <c:pt idx="22">
                  <c:v>1</c:v>
                </c:pt>
                <c:pt idx="26">
                  <c:v>2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A-43B9-82E8-3B6A42B6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WEST AFRICA (Live</a:t>
            </a:r>
            <a:r>
              <a:rPr lang="en-US" baseline="0"/>
              <a:t> Animal</a:t>
            </a:r>
            <a:r>
              <a:rPr lang="en-US"/>
              <a:t>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Sheet1!$L$13:$L$52</c:f>
              <c:numCache>
                <c:formatCode>#,##0</c:formatCode>
                <c:ptCount val="40"/>
                <c:pt idx="19">
                  <c:v>1</c:v>
                </c:pt>
                <c:pt idx="29">
                  <c:v>18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6-4DFB-8ED1-F0201D2AB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EAST AFRICA (Live</a:t>
            </a:r>
            <a:r>
              <a:rPr lang="en-US" baseline="0"/>
              <a:t> Animal</a:t>
            </a:r>
            <a:r>
              <a:rPr lang="en-US"/>
              <a:t>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Sheet1!$P$13:$P$52</c:f>
              <c:numCache>
                <c:formatCode>#,##0</c:formatCode>
                <c:ptCount val="40"/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4-449D-979C-CFEC096AB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CENTRAL AFRICA (Live</a:t>
            </a:r>
            <a:r>
              <a:rPr lang="en-US" baseline="0"/>
              <a:t> Animal</a:t>
            </a:r>
            <a:r>
              <a:rPr lang="en-US"/>
              <a:t>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Sheet1!$T$13:$T$52</c:f>
              <c:numCache>
                <c:formatCode>#,##0</c:formatCode>
                <c:ptCount val="40"/>
              </c:numCache>
            </c:numRef>
          </c:val>
          <c:extLst>
            <c:ext xmlns:c16="http://schemas.microsoft.com/office/drawing/2014/chart" uri="{C3380CC4-5D6E-409C-BE32-E72D297353CC}">
              <c16:uniqueId val="{00000000-388B-4975-8153-92B97E82E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NORTH AFRICA (Trophy &amp; Skull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5"/>
            <c:dispRSqr val="1"/>
            <c:dispEq val="0"/>
            <c:trendlineLbl>
              <c:layout>
                <c:manualLayout>
                  <c:x val="-0.39386308363252881"/>
                  <c:y val="-0.276354406723767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Sheet1!$I$13:$I$52</c:f>
              <c:numCache>
                <c:formatCode>#,##0</c:formatCode>
                <c:ptCount val="40"/>
                <c:pt idx="3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4A-4092-971A-0EAAB4EC9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WEST AFRICA (Trophy &amp; Skull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Sheet1!$M$13:$M$52</c:f>
              <c:numCache>
                <c:formatCode>#,##0</c:formatCode>
                <c:ptCount val="40"/>
                <c:pt idx="2">
                  <c:v>3</c:v>
                </c:pt>
                <c:pt idx="5">
                  <c:v>1</c:v>
                </c:pt>
                <c:pt idx="16">
                  <c:v>4</c:v>
                </c:pt>
                <c:pt idx="17">
                  <c:v>2</c:v>
                </c:pt>
                <c:pt idx="18">
                  <c:v>2</c:v>
                </c:pt>
                <c:pt idx="19">
                  <c:v>5</c:v>
                </c:pt>
                <c:pt idx="21">
                  <c:v>1</c:v>
                </c:pt>
                <c:pt idx="23">
                  <c:v>1</c:v>
                </c:pt>
                <c:pt idx="25">
                  <c:v>4</c:v>
                </c:pt>
                <c:pt idx="26">
                  <c:v>1</c:v>
                </c:pt>
                <c:pt idx="28">
                  <c:v>45</c:v>
                </c:pt>
                <c:pt idx="29">
                  <c:v>1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7</c:v>
                </c:pt>
                <c:pt idx="34">
                  <c:v>1</c:v>
                </c:pt>
                <c:pt idx="35">
                  <c:v>4</c:v>
                </c:pt>
                <c:pt idx="36">
                  <c:v>6</c:v>
                </c:pt>
                <c:pt idx="37">
                  <c:v>8</c:v>
                </c:pt>
                <c:pt idx="38">
                  <c:v>6</c:v>
                </c:pt>
                <c:pt idx="3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36-40AF-B39D-8F0F326A2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EAST AFRICA (Trophy &amp; Skull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Sheet1!$Q$13:$Q$52</c:f>
              <c:numCache>
                <c:formatCode>#,##0</c:formatCode>
                <c:ptCount val="40"/>
                <c:pt idx="2">
                  <c:v>1</c:v>
                </c:pt>
                <c:pt idx="3">
                  <c:v>48</c:v>
                </c:pt>
                <c:pt idx="4">
                  <c:v>24</c:v>
                </c:pt>
                <c:pt idx="5">
                  <c:v>17</c:v>
                </c:pt>
                <c:pt idx="6">
                  <c:v>55</c:v>
                </c:pt>
                <c:pt idx="7">
                  <c:v>65</c:v>
                </c:pt>
                <c:pt idx="8">
                  <c:v>60</c:v>
                </c:pt>
                <c:pt idx="9">
                  <c:v>471</c:v>
                </c:pt>
                <c:pt idx="10">
                  <c:v>481</c:v>
                </c:pt>
                <c:pt idx="11">
                  <c:v>297</c:v>
                </c:pt>
                <c:pt idx="12">
                  <c:v>151</c:v>
                </c:pt>
                <c:pt idx="13">
                  <c:v>225</c:v>
                </c:pt>
                <c:pt idx="14">
                  <c:v>333</c:v>
                </c:pt>
                <c:pt idx="15">
                  <c:v>243</c:v>
                </c:pt>
                <c:pt idx="16">
                  <c:v>346</c:v>
                </c:pt>
                <c:pt idx="17">
                  <c:v>295</c:v>
                </c:pt>
                <c:pt idx="18">
                  <c:v>497</c:v>
                </c:pt>
                <c:pt idx="19">
                  <c:v>243</c:v>
                </c:pt>
                <c:pt idx="20">
                  <c:v>229</c:v>
                </c:pt>
                <c:pt idx="21">
                  <c:v>325</c:v>
                </c:pt>
                <c:pt idx="22">
                  <c:v>315</c:v>
                </c:pt>
                <c:pt idx="23">
                  <c:v>641</c:v>
                </c:pt>
                <c:pt idx="24">
                  <c:v>428</c:v>
                </c:pt>
                <c:pt idx="25">
                  <c:v>329</c:v>
                </c:pt>
                <c:pt idx="26">
                  <c:v>400</c:v>
                </c:pt>
                <c:pt idx="27">
                  <c:v>466</c:v>
                </c:pt>
                <c:pt idx="28">
                  <c:v>393</c:v>
                </c:pt>
                <c:pt idx="29">
                  <c:v>539</c:v>
                </c:pt>
                <c:pt idx="30">
                  <c:v>344</c:v>
                </c:pt>
                <c:pt idx="31">
                  <c:v>177</c:v>
                </c:pt>
                <c:pt idx="32">
                  <c:v>155</c:v>
                </c:pt>
                <c:pt idx="33">
                  <c:v>124</c:v>
                </c:pt>
                <c:pt idx="34">
                  <c:v>420</c:v>
                </c:pt>
                <c:pt idx="35">
                  <c:v>172</c:v>
                </c:pt>
                <c:pt idx="36">
                  <c:v>312</c:v>
                </c:pt>
                <c:pt idx="37">
                  <c:v>206</c:v>
                </c:pt>
                <c:pt idx="38">
                  <c:v>153</c:v>
                </c:pt>
                <c:pt idx="3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5D-41DB-91FD-8E1C1F534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CENTRAL AFRICA (Trophy &amp; Skull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Sheet1!$U$13:$U$52</c:f>
              <c:numCache>
                <c:formatCode>#,##0</c:formatCode>
                <c:ptCount val="40"/>
                <c:pt idx="3">
                  <c:v>3</c:v>
                </c:pt>
                <c:pt idx="4">
                  <c:v>24</c:v>
                </c:pt>
                <c:pt idx="5">
                  <c:v>10</c:v>
                </c:pt>
                <c:pt idx="6">
                  <c:v>4</c:v>
                </c:pt>
                <c:pt idx="7">
                  <c:v>4</c:v>
                </c:pt>
                <c:pt idx="9">
                  <c:v>34</c:v>
                </c:pt>
                <c:pt idx="10">
                  <c:v>5</c:v>
                </c:pt>
                <c:pt idx="11">
                  <c:v>13</c:v>
                </c:pt>
                <c:pt idx="12">
                  <c:v>35</c:v>
                </c:pt>
                <c:pt idx="13">
                  <c:v>8</c:v>
                </c:pt>
                <c:pt idx="14">
                  <c:v>14</c:v>
                </c:pt>
                <c:pt idx="15">
                  <c:v>4</c:v>
                </c:pt>
                <c:pt idx="16">
                  <c:v>3</c:v>
                </c:pt>
                <c:pt idx="17">
                  <c:v>14</c:v>
                </c:pt>
                <c:pt idx="18">
                  <c:v>10</c:v>
                </c:pt>
                <c:pt idx="19">
                  <c:v>11</c:v>
                </c:pt>
                <c:pt idx="20">
                  <c:v>13</c:v>
                </c:pt>
                <c:pt idx="21">
                  <c:v>11</c:v>
                </c:pt>
                <c:pt idx="22">
                  <c:v>5</c:v>
                </c:pt>
                <c:pt idx="23">
                  <c:v>10</c:v>
                </c:pt>
                <c:pt idx="24">
                  <c:v>8</c:v>
                </c:pt>
                <c:pt idx="25">
                  <c:v>20</c:v>
                </c:pt>
                <c:pt idx="26">
                  <c:v>4</c:v>
                </c:pt>
                <c:pt idx="27">
                  <c:v>14</c:v>
                </c:pt>
                <c:pt idx="28">
                  <c:v>4</c:v>
                </c:pt>
                <c:pt idx="29">
                  <c:v>4</c:v>
                </c:pt>
                <c:pt idx="30">
                  <c:v>1</c:v>
                </c:pt>
                <c:pt idx="33">
                  <c:v>2</c:v>
                </c:pt>
                <c:pt idx="34">
                  <c:v>7</c:v>
                </c:pt>
                <c:pt idx="35">
                  <c:v>6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B-4434-AE5D-2AB4E870D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SOUTHERN AFRICA (Trophy &amp; Skull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Sheet1!$X$4</c:f>
              <c:strCache>
                <c:ptCount val="1"/>
                <c:pt idx="0">
                  <c:v>Sthn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5"/>
            <c:dispRSqr val="1"/>
            <c:dispEq val="0"/>
            <c:trendlineLbl>
              <c:layout>
                <c:manualLayout>
                  <c:x val="-0.39386308363252881"/>
                  <c:y val="-0.276354406723767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Sheet1!$Y$13:$Y$52</c:f>
              <c:numCache>
                <c:formatCode>#,##0</c:formatCode>
                <c:ptCount val="40"/>
              </c:numCache>
            </c:numRef>
          </c:val>
          <c:extLst>
            <c:ext xmlns:c16="http://schemas.microsoft.com/office/drawing/2014/chart" uri="{C3380CC4-5D6E-409C-BE32-E72D297353CC}">
              <c16:uniqueId val="{00000001-1E93-4811-941F-3B584E0A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HIPPO </a:t>
            </a:r>
            <a:r>
              <a:rPr lang="en-US">
                <a:solidFill>
                  <a:srgbClr val="C00000"/>
                </a:solidFill>
              </a:rPr>
              <a:t>Trophy &amp; Skull </a:t>
            </a:r>
            <a:r>
              <a:rPr lang="en-US"/>
              <a:t>ANNUAL LEGAL EXPORTS (CITES Data base)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6.9998900341344344E-2"/>
          <c:w val="0.89842474379968351"/>
          <c:h val="0.82894793534264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Sheet1!$E$13:$E$52</c:f>
              <c:numCache>
                <c:formatCode>#,##0</c:formatCode>
                <c:ptCount val="40"/>
                <c:pt idx="3">
                  <c:v>6</c:v>
                </c:pt>
                <c:pt idx="4">
                  <c:v>6</c:v>
                </c:pt>
                <c:pt idx="5">
                  <c:v>1</c:v>
                </c:pt>
                <c:pt idx="6">
                  <c:v>16</c:v>
                </c:pt>
                <c:pt idx="7">
                  <c:v>30</c:v>
                </c:pt>
                <c:pt idx="8">
                  <c:v>3</c:v>
                </c:pt>
                <c:pt idx="9">
                  <c:v>59</c:v>
                </c:pt>
                <c:pt idx="10">
                  <c:v>37</c:v>
                </c:pt>
                <c:pt idx="11">
                  <c:v>49</c:v>
                </c:pt>
                <c:pt idx="12">
                  <c:v>38</c:v>
                </c:pt>
                <c:pt idx="13">
                  <c:v>34</c:v>
                </c:pt>
                <c:pt idx="14">
                  <c:v>31</c:v>
                </c:pt>
                <c:pt idx="15">
                  <c:v>27</c:v>
                </c:pt>
                <c:pt idx="16">
                  <c:v>34</c:v>
                </c:pt>
                <c:pt idx="17">
                  <c:v>45</c:v>
                </c:pt>
                <c:pt idx="18">
                  <c:v>73</c:v>
                </c:pt>
                <c:pt idx="19">
                  <c:v>56</c:v>
                </c:pt>
                <c:pt idx="20">
                  <c:v>81</c:v>
                </c:pt>
                <c:pt idx="21">
                  <c:v>108</c:v>
                </c:pt>
                <c:pt idx="22">
                  <c:v>105</c:v>
                </c:pt>
                <c:pt idx="23">
                  <c:v>116</c:v>
                </c:pt>
                <c:pt idx="24">
                  <c:v>218</c:v>
                </c:pt>
                <c:pt idx="25">
                  <c:v>132</c:v>
                </c:pt>
                <c:pt idx="26">
                  <c:v>158</c:v>
                </c:pt>
                <c:pt idx="27">
                  <c:v>196</c:v>
                </c:pt>
                <c:pt idx="28">
                  <c:v>206</c:v>
                </c:pt>
                <c:pt idx="29">
                  <c:v>229</c:v>
                </c:pt>
                <c:pt idx="30">
                  <c:v>156</c:v>
                </c:pt>
                <c:pt idx="31">
                  <c:v>236</c:v>
                </c:pt>
                <c:pt idx="32">
                  <c:v>569</c:v>
                </c:pt>
                <c:pt idx="33">
                  <c:v>217</c:v>
                </c:pt>
                <c:pt idx="34">
                  <c:v>251</c:v>
                </c:pt>
                <c:pt idx="35">
                  <c:v>311</c:v>
                </c:pt>
                <c:pt idx="36">
                  <c:v>184</c:v>
                </c:pt>
                <c:pt idx="37">
                  <c:v>473</c:v>
                </c:pt>
                <c:pt idx="38">
                  <c:v>185</c:v>
                </c:pt>
                <c:pt idx="3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AF-4178-A182-90011D82442B}"/>
            </c:ext>
          </c:extLst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Sheet1!$I$13:$I$52</c:f>
              <c:numCache>
                <c:formatCode>#,##0</c:formatCode>
                <c:ptCount val="40"/>
                <c:pt idx="3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AF-4178-A182-90011D82442B}"/>
            </c:ext>
          </c:extLst>
        </c:ser>
        <c:ser>
          <c:idx val="2"/>
          <c:order val="2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Sheet1!$M$13:$M$52</c:f>
              <c:numCache>
                <c:formatCode>#,##0</c:formatCode>
                <c:ptCount val="40"/>
                <c:pt idx="2">
                  <c:v>3</c:v>
                </c:pt>
                <c:pt idx="5">
                  <c:v>1</c:v>
                </c:pt>
                <c:pt idx="16">
                  <c:v>4</c:v>
                </c:pt>
                <c:pt idx="17">
                  <c:v>2</c:v>
                </c:pt>
                <c:pt idx="18">
                  <c:v>2</c:v>
                </c:pt>
                <c:pt idx="19">
                  <c:v>5</c:v>
                </c:pt>
                <c:pt idx="21">
                  <c:v>1</c:v>
                </c:pt>
                <c:pt idx="23">
                  <c:v>1</c:v>
                </c:pt>
                <c:pt idx="25">
                  <c:v>4</c:v>
                </c:pt>
                <c:pt idx="26">
                  <c:v>1</c:v>
                </c:pt>
                <c:pt idx="28">
                  <c:v>45</c:v>
                </c:pt>
                <c:pt idx="29">
                  <c:v>1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7</c:v>
                </c:pt>
                <c:pt idx="34">
                  <c:v>1</c:v>
                </c:pt>
                <c:pt idx="35">
                  <c:v>4</c:v>
                </c:pt>
                <c:pt idx="36">
                  <c:v>6</c:v>
                </c:pt>
                <c:pt idx="37">
                  <c:v>8</c:v>
                </c:pt>
                <c:pt idx="38">
                  <c:v>6</c:v>
                </c:pt>
                <c:pt idx="3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AF-4178-A182-90011D82442B}"/>
            </c:ext>
          </c:extLst>
        </c:ser>
        <c:ser>
          <c:idx val="3"/>
          <c:order val="3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Sheet1!$Q$13:$Q$52</c:f>
              <c:numCache>
                <c:formatCode>#,##0</c:formatCode>
                <c:ptCount val="40"/>
                <c:pt idx="2">
                  <c:v>1</c:v>
                </c:pt>
                <c:pt idx="3">
                  <c:v>48</c:v>
                </c:pt>
                <c:pt idx="4">
                  <c:v>24</c:v>
                </c:pt>
                <c:pt idx="5">
                  <c:v>17</c:v>
                </c:pt>
                <c:pt idx="6">
                  <c:v>55</c:v>
                </c:pt>
                <c:pt idx="7">
                  <c:v>65</c:v>
                </c:pt>
                <c:pt idx="8">
                  <c:v>60</c:v>
                </c:pt>
                <c:pt idx="9">
                  <c:v>471</c:v>
                </c:pt>
                <c:pt idx="10">
                  <c:v>481</c:v>
                </c:pt>
                <c:pt idx="11">
                  <c:v>297</c:v>
                </c:pt>
                <c:pt idx="12">
                  <c:v>151</c:v>
                </c:pt>
                <c:pt idx="13">
                  <c:v>225</c:v>
                </c:pt>
                <c:pt idx="14">
                  <c:v>333</c:v>
                </c:pt>
                <c:pt idx="15">
                  <c:v>243</c:v>
                </c:pt>
                <c:pt idx="16">
                  <c:v>346</c:v>
                </c:pt>
                <c:pt idx="17">
                  <c:v>295</c:v>
                </c:pt>
                <c:pt idx="18">
                  <c:v>497</c:v>
                </c:pt>
                <c:pt idx="19">
                  <c:v>243</c:v>
                </c:pt>
                <c:pt idx="20">
                  <c:v>229</c:v>
                </c:pt>
                <c:pt idx="21">
                  <c:v>325</c:v>
                </c:pt>
                <c:pt idx="22">
                  <c:v>315</c:v>
                </c:pt>
                <c:pt idx="23">
                  <c:v>641</c:v>
                </c:pt>
                <c:pt idx="24">
                  <c:v>428</c:v>
                </c:pt>
                <c:pt idx="25">
                  <c:v>329</c:v>
                </c:pt>
                <c:pt idx="26">
                  <c:v>400</c:v>
                </c:pt>
                <c:pt idx="27">
                  <c:v>466</c:v>
                </c:pt>
                <c:pt idx="28">
                  <c:v>393</c:v>
                </c:pt>
                <c:pt idx="29">
                  <c:v>539</c:v>
                </c:pt>
                <c:pt idx="30">
                  <c:v>344</c:v>
                </c:pt>
                <c:pt idx="31">
                  <c:v>177</c:v>
                </c:pt>
                <c:pt idx="32">
                  <c:v>155</c:v>
                </c:pt>
                <c:pt idx="33">
                  <c:v>124</c:v>
                </c:pt>
                <c:pt idx="34">
                  <c:v>420</c:v>
                </c:pt>
                <c:pt idx="35">
                  <c:v>172</c:v>
                </c:pt>
                <c:pt idx="36">
                  <c:v>312</c:v>
                </c:pt>
                <c:pt idx="37">
                  <c:v>206</c:v>
                </c:pt>
                <c:pt idx="38">
                  <c:v>153</c:v>
                </c:pt>
                <c:pt idx="3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AF-4178-A182-90011D82442B}"/>
            </c:ext>
          </c:extLst>
        </c:ser>
        <c:ser>
          <c:idx val="4"/>
          <c:order val="4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Sheet1!$U$13:$U$52</c:f>
              <c:numCache>
                <c:formatCode>#,##0</c:formatCode>
                <c:ptCount val="40"/>
                <c:pt idx="3">
                  <c:v>3</c:v>
                </c:pt>
                <c:pt idx="4">
                  <c:v>24</c:v>
                </c:pt>
                <c:pt idx="5">
                  <c:v>10</c:v>
                </c:pt>
                <c:pt idx="6">
                  <c:v>4</c:v>
                </c:pt>
                <c:pt idx="7">
                  <c:v>4</c:v>
                </c:pt>
                <c:pt idx="9">
                  <c:v>34</c:v>
                </c:pt>
                <c:pt idx="10">
                  <c:v>5</c:v>
                </c:pt>
                <c:pt idx="11">
                  <c:v>13</c:v>
                </c:pt>
                <c:pt idx="12">
                  <c:v>35</c:v>
                </c:pt>
                <c:pt idx="13">
                  <c:v>8</c:v>
                </c:pt>
                <c:pt idx="14">
                  <c:v>14</c:v>
                </c:pt>
                <c:pt idx="15">
                  <c:v>4</c:v>
                </c:pt>
                <c:pt idx="16">
                  <c:v>3</c:v>
                </c:pt>
                <c:pt idx="17">
                  <c:v>14</c:v>
                </c:pt>
                <c:pt idx="18">
                  <c:v>10</c:v>
                </c:pt>
                <c:pt idx="19">
                  <c:v>11</c:v>
                </c:pt>
                <c:pt idx="20">
                  <c:v>13</c:v>
                </c:pt>
                <c:pt idx="21">
                  <c:v>11</c:v>
                </c:pt>
                <c:pt idx="22">
                  <c:v>5</c:v>
                </c:pt>
                <c:pt idx="23">
                  <c:v>10</c:v>
                </c:pt>
                <c:pt idx="24">
                  <c:v>8</c:v>
                </c:pt>
                <c:pt idx="25">
                  <c:v>20</c:v>
                </c:pt>
                <c:pt idx="26">
                  <c:v>4</c:v>
                </c:pt>
                <c:pt idx="27">
                  <c:v>14</c:v>
                </c:pt>
                <c:pt idx="28">
                  <c:v>4</c:v>
                </c:pt>
                <c:pt idx="29">
                  <c:v>4</c:v>
                </c:pt>
                <c:pt idx="30">
                  <c:v>1</c:v>
                </c:pt>
                <c:pt idx="33">
                  <c:v>2</c:v>
                </c:pt>
                <c:pt idx="34">
                  <c:v>7</c:v>
                </c:pt>
                <c:pt idx="35">
                  <c:v>6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AF-4178-A182-90011D824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624981928072378"/>
              <c:y val="0.95908337341835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2252866756778683"/>
          <c:y val="0.12790940791717056"/>
          <c:w val="9.4919718575080331E-2"/>
          <c:h val="0.17830255409419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 AFRICA (Live</a:t>
            </a:r>
            <a:r>
              <a:rPr lang="en-US" baseline="0"/>
              <a:t> Animal</a:t>
            </a:r>
            <a:r>
              <a:rPr lang="en-US"/>
              <a:t>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Sheet1!$D$13:$D$52</c:f>
              <c:numCache>
                <c:formatCode>#,##0</c:formatCode>
                <c:ptCount val="40"/>
                <c:pt idx="16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28</c:v>
                </c:pt>
                <c:pt idx="23">
                  <c:v>92</c:v>
                </c:pt>
                <c:pt idx="24">
                  <c:v>37</c:v>
                </c:pt>
                <c:pt idx="26">
                  <c:v>79</c:v>
                </c:pt>
                <c:pt idx="27">
                  <c:v>41</c:v>
                </c:pt>
                <c:pt idx="28">
                  <c:v>24</c:v>
                </c:pt>
                <c:pt idx="29">
                  <c:v>23</c:v>
                </c:pt>
                <c:pt idx="30">
                  <c:v>16</c:v>
                </c:pt>
                <c:pt idx="31">
                  <c:v>10</c:v>
                </c:pt>
                <c:pt idx="32">
                  <c:v>25</c:v>
                </c:pt>
                <c:pt idx="33">
                  <c:v>11</c:v>
                </c:pt>
                <c:pt idx="34">
                  <c:v>23</c:v>
                </c:pt>
                <c:pt idx="35">
                  <c:v>5</c:v>
                </c:pt>
                <c:pt idx="36">
                  <c:v>6</c:v>
                </c:pt>
                <c:pt idx="37">
                  <c:v>0</c:v>
                </c:pt>
                <c:pt idx="38">
                  <c:v>30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1-4348-B950-9652975AE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HIPPO </a:t>
            </a:r>
            <a:r>
              <a:rPr lang="en-US">
                <a:solidFill>
                  <a:srgbClr val="C00000"/>
                </a:solidFill>
              </a:rPr>
              <a:t>Live</a:t>
            </a:r>
            <a:r>
              <a:rPr lang="en-US" baseline="0">
                <a:solidFill>
                  <a:srgbClr val="C00000"/>
                </a:solidFill>
              </a:rPr>
              <a:t> Animal</a:t>
            </a:r>
            <a:r>
              <a:rPr lang="en-US">
                <a:solidFill>
                  <a:srgbClr val="C00000"/>
                </a:solidFill>
              </a:rPr>
              <a:t> </a:t>
            </a:r>
            <a:r>
              <a:rPr lang="en-US"/>
              <a:t>ANNUAL LEGAL EXPORTS (CITES Data base)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6.9998900341344344E-2"/>
          <c:w val="0.89842474379968351"/>
          <c:h val="0.82894793534264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Sheet1!$D$13:$D$52</c:f>
              <c:numCache>
                <c:formatCode>#,##0</c:formatCode>
                <c:ptCount val="40"/>
                <c:pt idx="16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28</c:v>
                </c:pt>
                <c:pt idx="23">
                  <c:v>92</c:v>
                </c:pt>
                <c:pt idx="24">
                  <c:v>37</c:v>
                </c:pt>
                <c:pt idx="26">
                  <c:v>79</c:v>
                </c:pt>
                <c:pt idx="27">
                  <c:v>41</c:v>
                </c:pt>
                <c:pt idx="28">
                  <c:v>24</c:v>
                </c:pt>
                <c:pt idx="29">
                  <c:v>23</c:v>
                </c:pt>
                <c:pt idx="30">
                  <c:v>16</c:v>
                </c:pt>
                <c:pt idx="31">
                  <c:v>10</c:v>
                </c:pt>
                <c:pt idx="32">
                  <c:v>25</c:v>
                </c:pt>
                <c:pt idx="33">
                  <c:v>11</c:v>
                </c:pt>
                <c:pt idx="34">
                  <c:v>23</c:v>
                </c:pt>
                <c:pt idx="35">
                  <c:v>5</c:v>
                </c:pt>
                <c:pt idx="36">
                  <c:v>6</c:v>
                </c:pt>
                <c:pt idx="37">
                  <c:v>0</c:v>
                </c:pt>
                <c:pt idx="38">
                  <c:v>30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7-4073-8CC4-F32BCAAD9E78}"/>
            </c:ext>
          </c:extLst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Sheet1!$H$13:$H$52</c:f>
              <c:numCache>
                <c:formatCode>#,##0</c:formatCode>
                <c:ptCount val="40"/>
                <c:pt idx="15">
                  <c:v>1</c:v>
                </c:pt>
                <c:pt idx="22">
                  <c:v>1</c:v>
                </c:pt>
                <c:pt idx="26">
                  <c:v>2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7-4073-8CC4-F32BCAAD9E78}"/>
            </c:ext>
          </c:extLst>
        </c:ser>
        <c:ser>
          <c:idx val="2"/>
          <c:order val="2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Sheet1!$L$13:$L$52</c:f>
              <c:numCache>
                <c:formatCode>#,##0</c:formatCode>
                <c:ptCount val="40"/>
                <c:pt idx="19">
                  <c:v>1</c:v>
                </c:pt>
                <c:pt idx="29">
                  <c:v>18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7-4073-8CC4-F32BCAAD9E78}"/>
            </c:ext>
          </c:extLst>
        </c:ser>
        <c:ser>
          <c:idx val="3"/>
          <c:order val="3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Sheet1!$P$13:$P$52</c:f>
              <c:numCache>
                <c:formatCode>#,##0</c:formatCode>
                <c:ptCount val="40"/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87-4073-8CC4-F32BCAAD9E78}"/>
            </c:ext>
          </c:extLst>
        </c:ser>
        <c:ser>
          <c:idx val="4"/>
          <c:order val="4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Sheet1!$T$13:$T$52</c:f>
              <c:numCache>
                <c:formatCode>#,##0</c:formatCode>
                <c:ptCount val="40"/>
              </c:numCache>
            </c:numRef>
          </c:val>
          <c:extLst>
            <c:ext xmlns:c16="http://schemas.microsoft.com/office/drawing/2014/chart" uri="{C3380CC4-5D6E-409C-BE32-E72D297353CC}">
              <c16:uniqueId val="{00000004-A287-4073-8CC4-F32BCAAD9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624981928072378"/>
              <c:y val="0.95908337341835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2252866756778683"/>
          <c:y val="0.12790940791717056"/>
          <c:w val="0.10656052464620819"/>
          <c:h val="0.16666531870735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HIPPO </a:t>
            </a:r>
            <a:r>
              <a:rPr lang="en-US">
                <a:solidFill>
                  <a:srgbClr val="C00000"/>
                </a:solidFill>
              </a:rPr>
              <a:t>Specimens</a:t>
            </a:r>
            <a:r>
              <a:rPr lang="en-US" baseline="0">
                <a:solidFill>
                  <a:srgbClr val="C00000"/>
                </a:solidFill>
              </a:rPr>
              <a:t> &amp; Products</a:t>
            </a:r>
            <a:r>
              <a:rPr lang="en-US">
                <a:solidFill>
                  <a:srgbClr val="C00000"/>
                </a:solidFill>
              </a:rPr>
              <a:t> </a:t>
            </a:r>
            <a:r>
              <a:rPr lang="en-US"/>
              <a:t>ANNUAL LEGAL EXPORTS (CITES Data base)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04618625611165E-2"/>
          <c:y val="6.9998900341344344E-2"/>
          <c:w val="0.88940794136082324"/>
          <c:h val="0.84083978168185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Sheet1!$F$13:$F$52</c:f>
              <c:numCache>
                <c:formatCode>#,##0</c:formatCode>
                <c:ptCount val="40"/>
                <c:pt idx="1">
                  <c:v>5</c:v>
                </c:pt>
                <c:pt idx="2">
                  <c:v>2</c:v>
                </c:pt>
                <c:pt idx="3">
                  <c:v>122</c:v>
                </c:pt>
                <c:pt idx="4">
                  <c:v>211</c:v>
                </c:pt>
                <c:pt idx="5">
                  <c:v>573</c:v>
                </c:pt>
                <c:pt idx="6">
                  <c:v>1961</c:v>
                </c:pt>
                <c:pt idx="7">
                  <c:v>1811</c:v>
                </c:pt>
                <c:pt idx="8">
                  <c:v>24</c:v>
                </c:pt>
                <c:pt idx="9">
                  <c:v>357</c:v>
                </c:pt>
                <c:pt idx="10">
                  <c:v>1056</c:v>
                </c:pt>
                <c:pt idx="11">
                  <c:v>277</c:v>
                </c:pt>
                <c:pt idx="12">
                  <c:v>419</c:v>
                </c:pt>
                <c:pt idx="13">
                  <c:v>873</c:v>
                </c:pt>
                <c:pt idx="14">
                  <c:v>572</c:v>
                </c:pt>
                <c:pt idx="15">
                  <c:v>1532</c:v>
                </c:pt>
                <c:pt idx="16">
                  <c:v>9496</c:v>
                </c:pt>
                <c:pt idx="17">
                  <c:v>1704</c:v>
                </c:pt>
                <c:pt idx="18">
                  <c:v>985</c:v>
                </c:pt>
                <c:pt idx="19">
                  <c:v>1139</c:v>
                </c:pt>
                <c:pt idx="20">
                  <c:v>1435</c:v>
                </c:pt>
                <c:pt idx="21">
                  <c:v>1195</c:v>
                </c:pt>
                <c:pt idx="22">
                  <c:v>1779</c:v>
                </c:pt>
                <c:pt idx="23">
                  <c:v>779</c:v>
                </c:pt>
                <c:pt idx="24">
                  <c:v>1588</c:v>
                </c:pt>
                <c:pt idx="25">
                  <c:v>774</c:v>
                </c:pt>
                <c:pt idx="26">
                  <c:v>703</c:v>
                </c:pt>
                <c:pt idx="27">
                  <c:v>932</c:v>
                </c:pt>
                <c:pt idx="28">
                  <c:v>2237</c:v>
                </c:pt>
                <c:pt idx="29">
                  <c:v>4337</c:v>
                </c:pt>
                <c:pt idx="30">
                  <c:v>2275</c:v>
                </c:pt>
                <c:pt idx="31">
                  <c:v>2441</c:v>
                </c:pt>
                <c:pt idx="32">
                  <c:v>2385</c:v>
                </c:pt>
                <c:pt idx="33">
                  <c:v>701</c:v>
                </c:pt>
                <c:pt idx="34">
                  <c:v>1856</c:v>
                </c:pt>
                <c:pt idx="35">
                  <c:v>440</c:v>
                </c:pt>
                <c:pt idx="36">
                  <c:v>195</c:v>
                </c:pt>
                <c:pt idx="37">
                  <c:v>138</c:v>
                </c:pt>
                <c:pt idx="38">
                  <c:v>296</c:v>
                </c:pt>
                <c:pt idx="39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A-456B-A3DA-902D450C2476}"/>
            </c:ext>
          </c:extLst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Sheet1!$J$13:$J$52</c:f>
              <c:numCache>
                <c:formatCode>#,##0</c:formatCode>
                <c:ptCount val="40"/>
                <c:pt idx="15">
                  <c:v>1</c:v>
                </c:pt>
                <c:pt idx="16">
                  <c:v>1</c:v>
                </c:pt>
                <c:pt idx="17">
                  <c:v>24</c:v>
                </c:pt>
                <c:pt idx="18">
                  <c:v>1</c:v>
                </c:pt>
                <c:pt idx="19">
                  <c:v>2</c:v>
                </c:pt>
                <c:pt idx="22">
                  <c:v>2</c:v>
                </c:pt>
                <c:pt idx="3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A-456B-A3DA-902D450C2476}"/>
            </c:ext>
          </c:extLst>
        </c:ser>
        <c:ser>
          <c:idx val="2"/>
          <c:order val="2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Sheet1!$N$13:$N$52</c:f>
              <c:numCache>
                <c:formatCode>#,##0</c:formatCode>
                <c:ptCount val="40"/>
                <c:pt idx="4">
                  <c:v>35</c:v>
                </c:pt>
                <c:pt idx="5">
                  <c:v>2</c:v>
                </c:pt>
                <c:pt idx="8">
                  <c:v>24</c:v>
                </c:pt>
                <c:pt idx="9">
                  <c:v>4</c:v>
                </c:pt>
                <c:pt idx="10">
                  <c:v>2</c:v>
                </c:pt>
                <c:pt idx="12">
                  <c:v>5</c:v>
                </c:pt>
                <c:pt idx="13">
                  <c:v>36</c:v>
                </c:pt>
                <c:pt idx="14">
                  <c:v>6</c:v>
                </c:pt>
                <c:pt idx="16">
                  <c:v>3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12</c:v>
                </c:pt>
                <c:pt idx="22">
                  <c:v>70</c:v>
                </c:pt>
                <c:pt idx="23">
                  <c:v>14</c:v>
                </c:pt>
                <c:pt idx="24">
                  <c:v>35</c:v>
                </c:pt>
                <c:pt idx="25">
                  <c:v>15</c:v>
                </c:pt>
                <c:pt idx="26">
                  <c:v>23</c:v>
                </c:pt>
                <c:pt idx="27">
                  <c:v>1</c:v>
                </c:pt>
                <c:pt idx="28">
                  <c:v>25</c:v>
                </c:pt>
                <c:pt idx="29">
                  <c:v>1</c:v>
                </c:pt>
                <c:pt idx="30">
                  <c:v>23</c:v>
                </c:pt>
                <c:pt idx="31">
                  <c:v>1</c:v>
                </c:pt>
                <c:pt idx="32">
                  <c:v>2</c:v>
                </c:pt>
                <c:pt idx="35">
                  <c:v>152</c:v>
                </c:pt>
                <c:pt idx="36">
                  <c:v>24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A-456B-A3DA-902D450C2476}"/>
            </c:ext>
          </c:extLst>
        </c:ser>
        <c:ser>
          <c:idx val="3"/>
          <c:order val="3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Sheet1!$R$13:$R$52</c:f>
              <c:numCache>
                <c:formatCode>#,##0</c:formatCode>
                <c:ptCount val="40"/>
                <c:pt idx="0">
                  <c:v>131</c:v>
                </c:pt>
                <c:pt idx="1">
                  <c:v>12</c:v>
                </c:pt>
                <c:pt idx="2">
                  <c:v>94</c:v>
                </c:pt>
                <c:pt idx="3">
                  <c:v>61</c:v>
                </c:pt>
                <c:pt idx="4">
                  <c:v>71</c:v>
                </c:pt>
                <c:pt idx="5">
                  <c:v>530</c:v>
                </c:pt>
                <c:pt idx="6">
                  <c:v>1060</c:v>
                </c:pt>
                <c:pt idx="7">
                  <c:v>1421</c:v>
                </c:pt>
                <c:pt idx="8">
                  <c:v>355</c:v>
                </c:pt>
                <c:pt idx="9">
                  <c:v>5033</c:v>
                </c:pt>
                <c:pt idx="10">
                  <c:v>3344</c:v>
                </c:pt>
                <c:pt idx="11">
                  <c:v>12168</c:v>
                </c:pt>
                <c:pt idx="12">
                  <c:v>13685</c:v>
                </c:pt>
                <c:pt idx="13">
                  <c:v>51332</c:v>
                </c:pt>
                <c:pt idx="14">
                  <c:v>36727</c:v>
                </c:pt>
                <c:pt idx="15">
                  <c:v>9787</c:v>
                </c:pt>
                <c:pt idx="16">
                  <c:v>7434</c:v>
                </c:pt>
                <c:pt idx="17">
                  <c:v>21626</c:v>
                </c:pt>
                <c:pt idx="18">
                  <c:v>11094</c:v>
                </c:pt>
                <c:pt idx="19">
                  <c:v>7895</c:v>
                </c:pt>
                <c:pt idx="20">
                  <c:v>12785</c:v>
                </c:pt>
                <c:pt idx="21">
                  <c:v>8803</c:v>
                </c:pt>
                <c:pt idx="22">
                  <c:v>4596</c:v>
                </c:pt>
                <c:pt idx="23">
                  <c:v>14698</c:v>
                </c:pt>
                <c:pt idx="24">
                  <c:v>3647</c:v>
                </c:pt>
                <c:pt idx="25">
                  <c:v>2514</c:v>
                </c:pt>
                <c:pt idx="26">
                  <c:v>3188</c:v>
                </c:pt>
                <c:pt idx="27">
                  <c:v>5695</c:v>
                </c:pt>
                <c:pt idx="28">
                  <c:v>7898</c:v>
                </c:pt>
                <c:pt idx="29">
                  <c:v>6477</c:v>
                </c:pt>
                <c:pt idx="30">
                  <c:v>3382</c:v>
                </c:pt>
                <c:pt idx="31">
                  <c:v>4600</c:v>
                </c:pt>
                <c:pt idx="32">
                  <c:v>1172</c:v>
                </c:pt>
                <c:pt idx="33">
                  <c:v>2456</c:v>
                </c:pt>
                <c:pt idx="34">
                  <c:v>2163</c:v>
                </c:pt>
                <c:pt idx="35">
                  <c:v>948</c:v>
                </c:pt>
                <c:pt idx="36">
                  <c:v>1846</c:v>
                </c:pt>
                <c:pt idx="37">
                  <c:v>682</c:v>
                </c:pt>
                <c:pt idx="38">
                  <c:v>679</c:v>
                </c:pt>
                <c:pt idx="39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8A-456B-A3DA-902D450C2476}"/>
            </c:ext>
          </c:extLst>
        </c:ser>
        <c:ser>
          <c:idx val="4"/>
          <c:order val="4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Sheet1!$V$13:$V$52</c:f>
              <c:numCache>
                <c:formatCode>#,##0</c:formatCode>
                <c:ptCount val="40"/>
                <c:pt idx="3">
                  <c:v>1</c:v>
                </c:pt>
                <c:pt idx="4">
                  <c:v>2</c:v>
                </c:pt>
                <c:pt idx="5">
                  <c:v>16</c:v>
                </c:pt>
                <c:pt idx="6">
                  <c:v>37</c:v>
                </c:pt>
                <c:pt idx="7">
                  <c:v>25</c:v>
                </c:pt>
                <c:pt idx="8">
                  <c:v>27</c:v>
                </c:pt>
                <c:pt idx="9">
                  <c:v>157</c:v>
                </c:pt>
                <c:pt idx="10">
                  <c:v>120</c:v>
                </c:pt>
                <c:pt idx="12">
                  <c:v>6485</c:v>
                </c:pt>
                <c:pt idx="13">
                  <c:v>1763</c:v>
                </c:pt>
                <c:pt idx="14">
                  <c:v>604</c:v>
                </c:pt>
                <c:pt idx="15">
                  <c:v>265</c:v>
                </c:pt>
                <c:pt idx="16">
                  <c:v>2563</c:v>
                </c:pt>
                <c:pt idx="17">
                  <c:v>26</c:v>
                </c:pt>
                <c:pt idx="18">
                  <c:v>33</c:v>
                </c:pt>
                <c:pt idx="19">
                  <c:v>53</c:v>
                </c:pt>
                <c:pt idx="20">
                  <c:v>1</c:v>
                </c:pt>
                <c:pt idx="21">
                  <c:v>17</c:v>
                </c:pt>
                <c:pt idx="23">
                  <c:v>6</c:v>
                </c:pt>
                <c:pt idx="24">
                  <c:v>48</c:v>
                </c:pt>
                <c:pt idx="25">
                  <c:v>37</c:v>
                </c:pt>
                <c:pt idx="26">
                  <c:v>67</c:v>
                </c:pt>
                <c:pt idx="27">
                  <c:v>108</c:v>
                </c:pt>
                <c:pt idx="28">
                  <c:v>69</c:v>
                </c:pt>
                <c:pt idx="29">
                  <c:v>28</c:v>
                </c:pt>
                <c:pt idx="30">
                  <c:v>37</c:v>
                </c:pt>
                <c:pt idx="31">
                  <c:v>47</c:v>
                </c:pt>
                <c:pt idx="32">
                  <c:v>41</c:v>
                </c:pt>
                <c:pt idx="36">
                  <c:v>24</c:v>
                </c:pt>
                <c:pt idx="3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8A-456B-A3DA-902D450C2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624981928072378"/>
              <c:y val="0.95908337341835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  <c:majorUnit val="5000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4056234926845984"/>
          <c:y val="0.11799951090193957"/>
          <c:w val="0.10656052464620819"/>
          <c:h val="0.16666531870735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HIPPO </a:t>
            </a:r>
            <a:r>
              <a:rPr lang="en-US">
                <a:solidFill>
                  <a:srgbClr val="C00000"/>
                </a:solidFill>
              </a:rPr>
              <a:t>Trophy &amp; Skull </a:t>
            </a:r>
            <a:r>
              <a:rPr lang="en-US"/>
              <a:t>ANNUAL LEGAL EXPORTS (CITES Data base)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6.9998900341344344E-2"/>
          <c:w val="0.89842474379968351"/>
          <c:h val="0.82894793534264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Sheet1!$E$71:$E$76</c:f>
              <c:numCache>
                <c:formatCode>General</c:formatCode>
                <c:ptCount val="6"/>
                <c:pt idx="0">
                  <c:v>0</c:v>
                </c:pt>
                <c:pt idx="1">
                  <c:v>62</c:v>
                </c:pt>
                <c:pt idx="2">
                  <c:v>427</c:v>
                </c:pt>
                <c:pt idx="3">
                  <c:v>1376</c:v>
                </c:pt>
                <c:pt idx="4">
                  <c:v>1407</c:v>
                </c:pt>
                <c:pt idx="5">
                  <c:v>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1-495C-ACAB-345AA3C63574}"/>
            </c:ext>
          </c:extLst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Sheet1!$I$71:$I$76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F1-495C-ACAB-345AA3C63574}"/>
            </c:ext>
          </c:extLst>
        </c:ser>
        <c:ser>
          <c:idx val="2"/>
          <c:order val="2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Sheet1!$M$71:$M$76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57</c:v>
                </c:pt>
                <c:pt idx="4">
                  <c:v>17</c:v>
                </c:pt>
                <c:pt idx="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F1-495C-ACAB-345AA3C63574}"/>
            </c:ext>
          </c:extLst>
        </c:ser>
        <c:ser>
          <c:idx val="3"/>
          <c:order val="3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Sheet1!$Q$71:$Q$76</c:f>
              <c:numCache>
                <c:formatCode>General</c:formatCode>
                <c:ptCount val="6"/>
                <c:pt idx="0">
                  <c:v>0</c:v>
                </c:pt>
                <c:pt idx="1">
                  <c:v>270</c:v>
                </c:pt>
                <c:pt idx="2">
                  <c:v>3339</c:v>
                </c:pt>
                <c:pt idx="3">
                  <c:v>3769</c:v>
                </c:pt>
                <c:pt idx="4">
                  <c:v>1339</c:v>
                </c:pt>
                <c:pt idx="5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F1-495C-ACAB-345AA3C63574}"/>
            </c:ext>
          </c:extLst>
        </c:ser>
        <c:ser>
          <c:idx val="4"/>
          <c:order val="4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Sheet1!$U$71:$U$76</c:f>
              <c:numCache>
                <c:formatCode>General</c:formatCode>
                <c:ptCount val="6"/>
                <c:pt idx="0">
                  <c:v>0</c:v>
                </c:pt>
                <c:pt idx="1">
                  <c:v>45</c:v>
                </c:pt>
                <c:pt idx="2">
                  <c:v>140</c:v>
                </c:pt>
                <c:pt idx="3">
                  <c:v>100</c:v>
                </c:pt>
                <c:pt idx="4">
                  <c:v>7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F1-495C-ACAB-345AA3C6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624981928072378"/>
              <c:y val="0.95908337341835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2252866756778683"/>
          <c:y val="0.12790940791717056"/>
          <c:w val="0.10563482946367166"/>
          <c:h val="0.16728100498797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HIPPO </a:t>
            </a:r>
            <a:r>
              <a:rPr lang="en-US">
                <a:solidFill>
                  <a:srgbClr val="C00000"/>
                </a:solidFill>
              </a:rPr>
              <a:t>Live</a:t>
            </a:r>
            <a:r>
              <a:rPr lang="en-US" baseline="0">
                <a:solidFill>
                  <a:srgbClr val="C00000"/>
                </a:solidFill>
              </a:rPr>
              <a:t> Animal</a:t>
            </a:r>
            <a:r>
              <a:rPr lang="en-US">
                <a:solidFill>
                  <a:srgbClr val="C00000"/>
                </a:solidFill>
              </a:rPr>
              <a:t> </a:t>
            </a:r>
            <a:r>
              <a:rPr lang="en-US"/>
              <a:t>ANNUAL LEGAL EXPORTS (CITES Data base)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6.9998900341344344E-2"/>
          <c:w val="0.89842474379968351"/>
          <c:h val="0.82894793534264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Sheet1!$D$71:$D$76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307</c:v>
                </c:pt>
                <c:pt idx="4">
                  <c:v>85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8-42E7-97CD-849A77662B83}"/>
            </c:ext>
          </c:extLst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Sheet1!$H$71:$H$76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88-42E7-97CD-849A77662B83}"/>
            </c:ext>
          </c:extLst>
        </c:ser>
        <c:ser>
          <c:idx val="2"/>
          <c:order val="2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Sheet1!$L$71:$L$76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88-42E7-97CD-849A77662B83}"/>
            </c:ext>
          </c:extLst>
        </c:ser>
        <c:ser>
          <c:idx val="3"/>
          <c:order val="3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Sheet1!$P$71:$P$76</c:f>
              <c:numCache>
                <c:formatCode>#,##0</c:formatCode>
                <c:ptCount val="6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88-42E7-97CD-849A77662B83}"/>
            </c:ext>
          </c:extLst>
        </c:ser>
        <c:ser>
          <c:idx val="4"/>
          <c:order val="4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Sheet1!$T$71:$T$76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88-42E7-97CD-849A77662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624981928072378"/>
              <c:y val="0.95908337341835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2252866756778683"/>
          <c:y val="0.12790940791717056"/>
          <c:w val="0.10656052464620819"/>
          <c:h val="0.16666531870735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HIPPO </a:t>
            </a:r>
            <a:r>
              <a:rPr lang="en-US">
                <a:solidFill>
                  <a:srgbClr val="C00000"/>
                </a:solidFill>
              </a:rPr>
              <a:t>Specimens</a:t>
            </a:r>
            <a:r>
              <a:rPr lang="en-US" baseline="0">
                <a:solidFill>
                  <a:srgbClr val="C00000"/>
                </a:solidFill>
              </a:rPr>
              <a:t> &amp; Products</a:t>
            </a:r>
            <a:r>
              <a:rPr lang="en-US">
                <a:solidFill>
                  <a:srgbClr val="C00000"/>
                </a:solidFill>
              </a:rPr>
              <a:t> </a:t>
            </a:r>
            <a:r>
              <a:rPr lang="en-US"/>
              <a:t>ANNUAL LEGAL EXPORTS (CITES Data base)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04618625611165E-2"/>
          <c:y val="6.9998900341344344E-2"/>
          <c:w val="0.88940794136082324"/>
          <c:h val="0.84083978168185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Sheet1!$F$71:$F$76</c:f>
              <c:numCache>
                <c:formatCode>General</c:formatCode>
                <c:ptCount val="6"/>
                <c:pt idx="0">
                  <c:v>0</c:v>
                </c:pt>
                <c:pt idx="1">
                  <c:v>4709</c:v>
                </c:pt>
                <c:pt idx="2">
                  <c:v>17271</c:v>
                </c:pt>
                <c:pt idx="3">
                  <c:v>12561</c:v>
                </c:pt>
                <c:pt idx="4">
                  <c:v>12139</c:v>
                </c:pt>
                <c:pt idx="5">
                  <c:v>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3B-4E46-BC13-5F6F633FCA06}"/>
            </c:ext>
          </c:extLst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Sheet1!$J$71:$J$76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27</c:v>
                </c:pt>
                <c:pt idx="3">
                  <c:v>4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3B-4E46-BC13-5F6F633FCA06}"/>
            </c:ext>
          </c:extLst>
        </c:ser>
        <c:ser>
          <c:idx val="2"/>
          <c:order val="2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Sheet1!$N$71:$N$76</c:f>
              <c:numCache>
                <c:formatCode>General</c:formatCode>
                <c:ptCount val="6"/>
                <c:pt idx="0">
                  <c:v>0</c:v>
                </c:pt>
                <c:pt idx="1">
                  <c:v>61</c:v>
                </c:pt>
                <c:pt idx="2">
                  <c:v>59</c:v>
                </c:pt>
                <c:pt idx="3">
                  <c:v>196</c:v>
                </c:pt>
                <c:pt idx="4">
                  <c:v>27</c:v>
                </c:pt>
                <c:pt idx="5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3B-4E46-BC13-5F6F633FCA06}"/>
            </c:ext>
          </c:extLst>
        </c:ser>
        <c:ser>
          <c:idx val="3"/>
          <c:order val="3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Sheet1!$R$72:$R$76</c:f>
              <c:numCache>
                <c:formatCode>General</c:formatCode>
                <c:ptCount val="5"/>
                <c:pt idx="0">
                  <c:v>3735</c:v>
                </c:pt>
                <c:pt idx="1">
                  <c:v>172230</c:v>
                </c:pt>
                <c:pt idx="2">
                  <c:v>71719</c:v>
                </c:pt>
                <c:pt idx="3">
                  <c:v>18087</c:v>
                </c:pt>
                <c:pt idx="4">
                  <c:v>6414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3B-4E46-BC13-5F6F633FCA06}"/>
            </c:ext>
          </c:extLst>
        </c:ser>
        <c:ser>
          <c:idx val="4"/>
          <c:order val="4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Sheet1!$C$71:$C$76</c:f>
              <c:strCache>
                <c:ptCount val="6"/>
                <c:pt idx="0">
                  <c:v>1975-1980</c:v>
                </c:pt>
                <c:pt idx="1">
                  <c:v>1981-1990</c:v>
                </c:pt>
                <c:pt idx="2">
                  <c:v>1991-2000</c:v>
                </c:pt>
                <c:pt idx="3">
                  <c:v>2001-2010</c:v>
                </c:pt>
                <c:pt idx="4">
                  <c:v>2011-2015</c:v>
                </c:pt>
                <c:pt idx="5">
                  <c:v>2016-2022</c:v>
                </c:pt>
              </c:strCache>
            </c:strRef>
          </c:cat>
          <c:val>
            <c:numRef>
              <c:f>Sheet1!$V$71:$V$76</c:f>
              <c:numCache>
                <c:formatCode>General</c:formatCode>
                <c:ptCount val="6"/>
                <c:pt idx="0">
                  <c:v>0</c:v>
                </c:pt>
                <c:pt idx="1">
                  <c:v>108</c:v>
                </c:pt>
                <c:pt idx="2">
                  <c:v>12016</c:v>
                </c:pt>
                <c:pt idx="3">
                  <c:v>406</c:v>
                </c:pt>
                <c:pt idx="4">
                  <c:v>153</c:v>
                </c:pt>
                <c:pt idx="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3B-4E46-BC13-5F6F633FC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624981928072378"/>
              <c:y val="0.95908337341835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18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  <c:majorUnit val="20000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4056234926845984"/>
          <c:y val="0.11799951090193957"/>
          <c:w val="0.10656052464620819"/>
          <c:h val="0.16666531870735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 AFRICA (Specimen Products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SOUTH AFRICA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1"/>
            <c:dispEq val="0"/>
            <c:trendlineLbl>
              <c:layout>
                <c:manualLayout>
                  <c:x val="-0.28625069642766815"/>
                  <c:y val="-0.2695731185936153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Sheet1!$F$13:$F$52</c:f>
              <c:numCache>
                <c:formatCode>#,##0</c:formatCode>
                <c:ptCount val="40"/>
                <c:pt idx="1">
                  <c:v>5</c:v>
                </c:pt>
                <c:pt idx="2">
                  <c:v>2</c:v>
                </c:pt>
                <c:pt idx="3">
                  <c:v>122</c:v>
                </c:pt>
                <c:pt idx="4">
                  <c:v>211</c:v>
                </c:pt>
                <c:pt idx="5">
                  <c:v>573</c:v>
                </c:pt>
                <c:pt idx="6">
                  <c:v>1961</c:v>
                </c:pt>
                <c:pt idx="7">
                  <c:v>1811</c:v>
                </c:pt>
                <c:pt idx="8">
                  <c:v>24</c:v>
                </c:pt>
                <c:pt idx="9">
                  <c:v>357</c:v>
                </c:pt>
                <c:pt idx="10">
                  <c:v>1056</c:v>
                </c:pt>
                <c:pt idx="11">
                  <c:v>277</c:v>
                </c:pt>
                <c:pt idx="12">
                  <c:v>419</c:v>
                </c:pt>
                <c:pt idx="13">
                  <c:v>873</c:v>
                </c:pt>
                <c:pt idx="14">
                  <c:v>572</c:v>
                </c:pt>
                <c:pt idx="15">
                  <c:v>1532</c:v>
                </c:pt>
                <c:pt idx="16">
                  <c:v>9496</c:v>
                </c:pt>
                <c:pt idx="17">
                  <c:v>1704</c:v>
                </c:pt>
                <c:pt idx="18">
                  <c:v>985</c:v>
                </c:pt>
                <c:pt idx="19">
                  <c:v>1139</c:v>
                </c:pt>
                <c:pt idx="20">
                  <c:v>1435</c:v>
                </c:pt>
                <c:pt idx="21">
                  <c:v>1195</c:v>
                </c:pt>
                <c:pt idx="22">
                  <c:v>1779</c:v>
                </c:pt>
                <c:pt idx="23">
                  <c:v>779</c:v>
                </c:pt>
                <c:pt idx="24">
                  <c:v>1588</c:v>
                </c:pt>
                <c:pt idx="25">
                  <c:v>774</c:v>
                </c:pt>
                <c:pt idx="26">
                  <c:v>703</c:v>
                </c:pt>
                <c:pt idx="27">
                  <c:v>932</c:v>
                </c:pt>
                <c:pt idx="28">
                  <c:v>2237</c:v>
                </c:pt>
                <c:pt idx="29">
                  <c:v>4337</c:v>
                </c:pt>
                <c:pt idx="30">
                  <c:v>2275</c:v>
                </c:pt>
                <c:pt idx="31">
                  <c:v>2441</c:v>
                </c:pt>
                <c:pt idx="32">
                  <c:v>2385</c:v>
                </c:pt>
                <c:pt idx="33">
                  <c:v>701</c:v>
                </c:pt>
                <c:pt idx="34">
                  <c:v>1856</c:v>
                </c:pt>
                <c:pt idx="35">
                  <c:v>440</c:v>
                </c:pt>
                <c:pt idx="36">
                  <c:v>195</c:v>
                </c:pt>
                <c:pt idx="37">
                  <c:v>138</c:v>
                </c:pt>
                <c:pt idx="38">
                  <c:v>296</c:v>
                </c:pt>
                <c:pt idx="39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F-44C7-BCB0-944645A48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SOUTHERN AFRICA (Live</a:t>
            </a:r>
            <a:r>
              <a:rPr lang="en-US" baseline="0"/>
              <a:t> Animal</a:t>
            </a:r>
            <a:r>
              <a:rPr lang="en-US"/>
              <a:t>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Sheet1!$X$4</c:f>
              <c:strCache>
                <c:ptCount val="1"/>
                <c:pt idx="0">
                  <c:v>Sthn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Sheet1!$X$13:$X$52</c:f>
              <c:numCache>
                <c:formatCode>#,##0</c:formatCode>
                <c:ptCount val="40"/>
              </c:numCache>
            </c:numRef>
          </c:val>
          <c:extLst>
            <c:ext xmlns:c16="http://schemas.microsoft.com/office/drawing/2014/chart" uri="{C3380CC4-5D6E-409C-BE32-E72D297353CC}">
              <c16:uniqueId val="{00000000-7094-4102-A33B-C0E3AA980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NORTH AFRICA (Specimen Products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Sheet1!$H$4</c:f>
              <c:strCache>
                <c:ptCount val="1"/>
                <c:pt idx="0">
                  <c:v>North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Sheet1!$J$13:$J$52</c:f>
              <c:numCache>
                <c:formatCode>#,##0</c:formatCode>
                <c:ptCount val="40"/>
                <c:pt idx="15">
                  <c:v>1</c:v>
                </c:pt>
                <c:pt idx="16">
                  <c:v>1</c:v>
                </c:pt>
                <c:pt idx="17">
                  <c:v>24</c:v>
                </c:pt>
                <c:pt idx="18">
                  <c:v>1</c:v>
                </c:pt>
                <c:pt idx="19">
                  <c:v>2</c:v>
                </c:pt>
                <c:pt idx="22">
                  <c:v>2</c:v>
                </c:pt>
                <c:pt idx="3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AB-4953-8080-2A62A95E0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WEST AFRICA (Specimen Products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Sheet1!$L$4</c:f>
              <c:strCache>
                <c:ptCount val="1"/>
                <c:pt idx="0">
                  <c:v>West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Sheet1!$N$13:$N$52</c:f>
              <c:numCache>
                <c:formatCode>#,##0</c:formatCode>
                <c:ptCount val="40"/>
                <c:pt idx="4">
                  <c:v>35</c:v>
                </c:pt>
                <c:pt idx="5">
                  <c:v>2</c:v>
                </c:pt>
                <c:pt idx="8">
                  <c:v>24</c:v>
                </c:pt>
                <c:pt idx="9">
                  <c:v>4</c:v>
                </c:pt>
                <c:pt idx="10">
                  <c:v>2</c:v>
                </c:pt>
                <c:pt idx="12">
                  <c:v>5</c:v>
                </c:pt>
                <c:pt idx="13">
                  <c:v>36</c:v>
                </c:pt>
                <c:pt idx="14">
                  <c:v>6</c:v>
                </c:pt>
                <c:pt idx="16">
                  <c:v>3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12</c:v>
                </c:pt>
                <c:pt idx="22">
                  <c:v>70</c:v>
                </c:pt>
                <c:pt idx="23">
                  <c:v>14</c:v>
                </c:pt>
                <c:pt idx="24">
                  <c:v>35</c:v>
                </c:pt>
                <c:pt idx="25">
                  <c:v>15</c:v>
                </c:pt>
                <c:pt idx="26">
                  <c:v>23</c:v>
                </c:pt>
                <c:pt idx="27">
                  <c:v>1</c:v>
                </c:pt>
                <c:pt idx="28">
                  <c:v>25</c:v>
                </c:pt>
                <c:pt idx="29">
                  <c:v>1</c:v>
                </c:pt>
                <c:pt idx="30">
                  <c:v>23</c:v>
                </c:pt>
                <c:pt idx="31">
                  <c:v>1</c:v>
                </c:pt>
                <c:pt idx="32">
                  <c:v>2</c:v>
                </c:pt>
                <c:pt idx="35">
                  <c:v>152</c:v>
                </c:pt>
                <c:pt idx="36">
                  <c:v>24</c:v>
                </c:pt>
                <c:pt idx="3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19-4015-A44C-B376B43CB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EAST AFRICA (Specimen Products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Sheet1!$P$4</c:f>
              <c:strCache>
                <c:ptCount val="1"/>
                <c:pt idx="0">
                  <c:v>East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Sheet1!$R$13:$R$52</c:f>
              <c:numCache>
                <c:formatCode>#,##0</c:formatCode>
                <c:ptCount val="40"/>
                <c:pt idx="0">
                  <c:v>131</c:v>
                </c:pt>
                <c:pt idx="1">
                  <c:v>12</c:v>
                </c:pt>
                <c:pt idx="2">
                  <c:v>94</c:v>
                </c:pt>
                <c:pt idx="3">
                  <c:v>61</c:v>
                </c:pt>
                <c:pt idx="4">
                  <c:v>71</c:v>
                </c:pt>
                <c:pt idx="5">
                  <c:v>530</c:v>
                </c:pt>
                <c:pt idx="6">
                  <c:v>1060</c:v>
                </c:pt>
                <c:pt idx="7">
                  <c:v>1421</c:v>
                </c:pt>
                <c:pt idx="8">
                  <c:v>355</c:v>
                </c:pt>
                <c:pt idx="9">
                  <c:v>5033</c:v>
                </c:pt>
                <c:pt idx="10">
                  <c:v>3344</c:v>
                </c:pt>
                <c:pt idx="11">
                  <c:v>12168</c:v>
                </c:pt>
                <c:pt idx="12">
                  <c:v>13685</c:v>
                </c:pt>
                <c:pt idx="13">
                  <c:v>51332</c:v>
                </c:pt>
                <c:pt idx="14">
                  <c:v>36727</c:v>
                </c:pt>
                <c:pt idx="15">
                  <c:v>9787</c:v>
                </c:pt>
                <c:pt idx="16">
                  <c:v>7434</c:v>
                </c:pt>
                <c:pt idx="17">
                  <c:v>21626</c:v>
                </c:pt>
                <c:pt idx="18">
                  <c:v>11094</c:v>
                </c:pt>
                <c:pt idx="19">
                  <c:v>7895</c:v>
                </c:pt>
                <c:pt idx="20">
                  <c:v>12785</c:v>
                </c:pt>
                <c:pt idx="21">
                  <c:v>8803</c:v>
                </c:pt>
                <c:pt idx="22">
                  <c:v>4596</c:v>
                </c:pt>
                <c:pt idx="23">
                  <c:v>14698</c:v>
                </c:pt>
                <c:pt idx="24">
                  <c:v>3647</c:v>
                </c:pt>
                <c:pt idx="25">
                  <c:v>2514</c:v>
                </c:pt>
                <c:pt idx="26">
                  <c:v>3188</c:v>
                </c:pt>
                <c:pt idx="27">
                  <c:v>5695</c:v>
                </c:pt>
                <c:pt idx="28">
                  <c:v>7898</c:v>
                </c:pt>
                <c:pt idx="29">
                  <c:v>6477</c:v>
                </c:pt>
                <c:pt idx="30">
                  <c:v>3382</c:v>
                </c:pt>
                <c:pt idx="31">
                  <c:v>4600</c:v>
                </c:pt>
                <c:pt idx="32">
                  <c:v>1172</c:v>
                </c:pt>
                <c:pt idx="33">
                  <c:v>2456</c:v>
                </c:pt>
                <c:pt idx="34">
                  <c:v>2163</c:v>
                </c:pt>
                <c:pt idx="35">
                  <c:v>948</c:v>
                </c:pt>
                <c:pt idx="36">
                  <c:v>1846</c:v>
                </c:pt>
                <c:pt idx="37">
                  <c:v>682</c:v>
                </c:pt>
                <c:pt idx="38">
                  <c:v>679</c:v>
                </c:pt>
                <c:pt idx="39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B7-4531-A875-EBC3CAE25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CENTRAL AFRICA (Specimen Products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Sheet1!$T$4</c:f>
              <c:strCache>
                <c:ptCount val="1"/>
                <c:pt idx="0">
                  <c:v>Central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Sheet1!$V$13:$V$52</c:f>
              <c:numCache>
                <c:formatCode>#,##0</c:formatCode>
                <c:ptCount val="40"/>
                <c:pt idx="3">
                  <c:v>1</c:v>
                </c:pt>
                <c:pt idx="4">
                  <c:v>2</c:v>
                </c:pt>
                <c:pt idx="5">
                  <c:v>16</c:v>
                </c:pt>
                <c:pt idx="6">
                  <c:v>37</c:v>
                </c:pt>
                <c:pt idx="7">
                  <c:v>25</c:v>
                </c:pt>
                <c:pt idx="8">
                  <c:v>27</c:v>
                </c:pt>
                <c:pt idx="9">
                  <c:v>157</c:v>
                </c:pt>
                <c:pt idx="10">
                  <c:v>120</c:v>
                </c:pt>
                <c:pt idx="12">
                  <c:v>6485</c:v>
                </c:pt>
                <c:pt idx="13">
                  <c:v>1763</c:v>
                </c:pt>
                <c:pt idx="14">
                  <c:v>604</c:v>
                </c:pt>
                <c:pt idx="15">
                  <c:v>265</c:v>
                </c:pt>
                <c:pt idx="16">
                  <c:v>2563</c:v>
                </c:pt>
                <c:pt idx="17">
                  <c:v>26</c:v>
                </c:pt>
                <c:pt idx="18">
                  <c:v>33</c:v>
                </c:pt>
                <c:pt idx="19">
                  <c:v>53</c:v>
                </c:pt>
                <c:pt idx="20">
                  <c:v>1</c:v>
                </c:pt>
                <c:pt idx="21">
                  <c:v>17</c:v>
                </c:pt>
                <c:pt idx="23">
                  <c:v>6</c:v>
                </c:pt>
                <c:pt idx="24">
                  <c:v>48</c:v>
                </c:pt>
                <c:pt idx="25">
                  <c:v>37</c:v>
                </c:pt>
                <c:pt idx="26">
                  <c:v>67</c:v>
                </c:pt>
                <c:pt idx="27">
                  <c:v>108</c:v>
                </c:pt>
                <c:pt idx="28">
                  <c:v>69</c:v>
                </c:pt>
                <c:pt idx="29">
                  <c:v>28</c:v>
                </c:pt>
                <c:pt idx="30">
                  <c:v>37</c:v>
                </c:pt>
                <c:pt idx="31">
                  <c:v>47</c:v>
                </c:pt>
                <c:pt idx="32">
                  <c:v>41</c:v>
                </c:pt>
                <c:pt idx="36">
                  <c:v>24</c:v>
                </c:pt>
                <c:pt idx="3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7-4BED-A736-FF084A9D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SOUTHERN AFRICA (Specimen Products ANNUAL LEGAL EXPORTS)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029392891177016E-2"/>
          <c:y val="9.0416565413196689E-2"/>
          <c:w val="0.89842474379968351"/>
          <c:h val="0.80853036010916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Sheet1!$X$4</c:f>
              <c:strCache>
                <c:ptCount val="1"/>
                <c:pt idx="0">
                  <c:v>Sthn Afr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1"/>
            <c:dispEq val="0"/>
            <c:trendlineLbl>
              <c:layout>
                <c:manualLayout>
                  <c:x val="-0.28625069642766815"/>
                  <c:y val="-0.2695731185936153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Sheet1!$C$13:$C$52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Sheet1!$Z$13:$Z$52</c:f>
              <c:numCache>
                <c:formatCode>#,##0</c:formatCode>
                <c:ptCount val="40"/>
              </c:numCache>
            </c:numRef>
          </c:val>
          <c:extLst>
            <c:ext xmlns:c16="http://schemas.microsoft.com/office/drawing/2014/chart" uri="{C3380CC4-5D6E-409C-BE32-E72D297353CC}">
              <c16:uniqueId val="{00000001-9B60-4E55-A183-B1F96294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283864575"/>
        <c:axId val="658464175"/>
      </c:barChart>
      <c:catAx>
        <c:axId val="283864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464175"/>
        <c:crosses val="autoZero"/>
        <c:auto val="1"/>
        <c:lblAlgn val="ctr"/>
        <c:lblOffset val="100"/>
        <c:noMultiLvlLbl val="0"/>
      </c:catAx>
      <c:valAx>
        <c:axId val="658464175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 Exports  (n)</a:t>
                </a:r>
              </a:p>
            </c:rich>
          </c:tx>
          <c:layout>
            <c:manualLayout>
              <c:xMode val="edge"/>
              <c:yMode val="edge"/>
              <c:x val="1.4733279972825461E-2"/>
              <c:y val="0.40358251092481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864575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599359</xdr:colOff>
      <xdr:row>80</xdr:row>
      <xdr:rowOff>15240</xdr:rowOff>
    </xdr:from>
    <xdr:to>
      <xdr:col>14</xdr:col>
      <xdr:colOff>357186</xdr:colOff>
      <xdr:row>109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2310EB-C0D0-D544-0B84-A5D0B6B601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112</xdr:row>
      <xdr:rowOff>0</xdr:rowOff>
    </xdr:from>
    <xdr:to>
      <xdr:col>14</xdr:col>
      <xdr:colOff>370761</xdr:colOff>
      <xdr:row>141</xdr:row>
      <xdr:rowOff>30479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C7B0C03-BCF4-42D3-B8FA-CC246682E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143</xdr:row>
      <xdr:rowOff>0</xdr:rowOff>
    </xdr:from>
    <xdr:to>
      <xdr:col>14</xdr:col>
      <xdr:colOff>370761</xdr:colOff>
      <xdr:row>172</xdr:row>
      <xdr:rowOff>30479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C6D51C7-CD45-4E61-837E-B4C68C857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75</xdr:col>
      <xdr:colOff>0</xdr:colOff>
      <xdr:row>112</xdr:row>
      <xdr:rowOff>0</xdr:rowOff>
    </xdr:from>
    <xdr:to>
      <xdr:col>88</xdr:col>
      <xdr:colOff>547449</xdr:colOff>
      <xdr:row>141</xdr:row>
      <xdr:rowOff>28574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F4EEE28-F242-4F26-9475-5C611543E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143</xdr:row>
      <xdr:rowOff>0</xdr:rowOff>
    </xdr:from>
    <xdr:to>
      <xdr:col>28</xdr:col>
      <xdr:colOff>547449</xdr:colOff>
      <xdr:row>172</xdr:row>
      <xdr:rowOff>28574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834CF895-48F2-4BED-9474-A154DA536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0</xdr:colOff>
      <xdr:row>143</xdr:row>
      <xdr:rowOff>0</xdr:rowOff>
    </xdr:from>
    <xdr:to>
      <xdr:col>43</xdr:col>
      <xdr:colOff>547449</xdr:colOff>
      <xdr:row>172</xdr:row>
      <xdr:rowOff>28574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42A9EC91-C268-400D-8F32-193BB728D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143</xdr:row>
      <xdr:rowOff>0</xdr:rowOff>
    </xdr:from>
    <xdr:to>
      <xdr:col>58</xdr:col>
      <xdr:colOff>547449</xdr:colOff>
      <xdr:row>172</xdr:row>
      <xdr:rowOff>28574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48E778B-EB41-42CF-918F-0C3494CF5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60</xdr:col>
      <xdr:colOff>0</xdr:colOff>
      <xdr:row>143</xdr:row>
      <xdr:rowOff>0</xdr:rowOff>
    </xdr:from>
    <xdr:to>
      <xdr:col>73</xdr:col>
      <xdr:colOff>547450</xdr:colOff>
      <xdr:row>172</xdr:row>
      <xdr:rowOff>28574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B970698B-4897-415F-A0E2-0E61D3763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75</xdr:col>
      <xdr:colOff>0</xdr:colOff>
      <xdr:row>143</xdr:row>
      <xdr:rowOff>0</xdr:rowOff>
    </xdr:from>
    <xdr:to>
      <xdr:col>88</xdr:col>
      <xdr:colOff>547449</xdr:colOff>
      <xdr:row>172</xdr:row>
      <xdr:rowOff>28574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2584F6A3-D754-4FCF-8393-C9189148C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112</xdr:row>
      <xdr:rowOff>0</xdr:rowOff>
    </xdr:from>
    <xdr:to>
      <xdr:col>28</xdr:col>
      <xdr:colOff>547449</xdr:colOff>
      <xdr:row>141</xdr:row>
      <xdr:rowOff>28574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A575532-553A-4FE4-85B8-13A8FF7D6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0</xdr:colOff>
      <xdr:row>112</xdr:row>
      <xdr:rowOff>0</xdr:rowOff>
    </xdr:from>
    <xdr:to>
      <xdr:col>43</xdr:col>
      <xdr:colOff>547449</xdr:colOff>
      <xdr:row>141</xdr:row>
      <xdr:rowOff>28574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7109CDED-F04B-4E0D-BD66-1C16A8AA0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45</xdr:col>
      <xdr:colOff>0</xdr:colOff>
      <xdr:row>112</xdr:row>
      <xdr:rowOff>0</xdr:rowOff>
    </xdr:from>
    <xdr:to>
      <xdr:col>58</xdr:col>
      <xdr:colOff>547449</xdr:colOff>
      <xdr:row>141</xdr:row>
      <xdr:rowOff>28574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4B668E98-3EE5-4951-814A-60B3BAE27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60</xdr:col>
      <xdr:colOff>0</xdr:colOff>
      <xdr:row>112</xdr:row>
      <xdr:rowOff>0</xdr:rowOff>
    </xdr:from>
    <xdr:to>
      <xdr:col>73</xdr:col>
      <xdr:colOff>547450</xdr:colOff>
      <xdr:row>141</xdr:row>
      <xdr:rowOff>28574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B2A357F-8471-4E6F-934D-0E31C30D9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0</xdr:colOff>
      <xdr:row>80</xdr:row>
      <xdr:rowOff>0</xdr:rowOff>
    </xdr:from>
    <xdr:to>
      <xdr:col>28</xdr:col>
      <xdr:colOff>549354</xdr:colOff>
      <xdr:row>109</xdr:row>
      <xdr:rowOff>30479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9514582C-6339-440E-912B-3CEC447A2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30</xdr:col>
      <xdr:colOff>0</xdr:colOff>
      <xdr:row>80</xdr:row>
      <xdr:rowOff>0</xdr:rowOff>
    </xdr:from>
    <xdr:to>
      <xdr:col>43</xdr:col>
      <xdr:colOff>549354</xdr:colOff>
      <xdr:row>109</xdr:row>
      <xdr:rowOff>30479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244BD032-A750-46AD-AD68-A44D95956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45</xdr:col>
      <xdr:colOff>0</xdr:colOff>
      <xdr:row>80</xdr:row>
      <xdr:rowOff>0</xdr:rowOff>
    </xdr:from>
    <xdr:to>
      <xdr:col>58</xdr:col>
      <xdr:colOff>549354</xdr:colOff>
      <xdr:row>109</xdr:row>
      <xdr:rowOff>30479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DB221754-74D8-4902-9F8A-02361BA88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60</xdr:col>
      <xdr:colOff>0</xdr:colOff>
      <xdr:row>80</xdr:row>
      <xdr:rowOff>0</xdr:rowOff>
    </xdr:from>
    <xdr:to>
      <xdr:col>73</xdr:col>
      <xdr:colOff>549355</xdr:colOff>
      <xdr:row>109</xdr:row>
      <xdr:rowOff>30479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95F2913C-78E7-4AD1-9850-7D47A0B74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75</xdr:col>
      <xdr:colOff>0</xdr:colOff>
      <xdr:row>80</xdr:row>
      <xdr:rowOff>0</xdr:rowOff>
    </xdr:from>
    <xdr:to>
      <xdr:col>88</xdr:col>
      <xdr:colOff>549354</xdr:colOff>
      <xdr:row>109</xdr:row>
      <xdr:rowOff>30479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CB9EEF2E-8D3B-4AA6-B8EC-91DA84B5B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0</xdr:colOff>
      <xdr:row>1</xdr:row>
      <xdr:rowOff>2343</xdr:rowOff>
    </xdr:from>
    <xdr:to>
      <xdr:col>42</xdr:col>
      <xdr:colOff>571096</xdr:colOff>
      <xdr:row>35</xdr:row>
      <xdr:rowOff>10889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DEC4EF15-E239-4B3B-BCDF-C00A960A3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0</xdr:colOff>
      <xdr:row>37</xdr:row>
      <xdr:rowOff>0</xdr:rowOff>
    </xdr:from>
    <xdr:to>
      <xdr:col>42</xdr:col>
      <xdr:colOff>571096</xdr:colOff>
      <xdr:row>71</xdr:row>
      <xdr:rowOff>93277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9902C515-EFD0-4335-8018-AA50F74DC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44</xdr:col>
      <xdr:colOff>0</xdr:colOff>
      <xdr:row>1</xdr:row>
      <xdr:rowOff>0</xdr:rowOff>
    </xdr:from>
    <xdr:to>
      <xdr:col>57</xdr:col>
      <xdr:colOff>571096</xdr:colOff>
      <xdr:row>35</xdr:row>
      <xdr:rowOff>10451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5A8A374-A6F8-4B15-94A2-E94EFE05D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</xdr:col>
      <xdr:colOff>0</xdr:colOff>
      <xdr:row>174</xdr:row>
      <xdr:rowOff>0</xdr:rowOff>
    </xdr:from>
    <xdr:to>
      <xdr:col>14</xdr:col>
      <xdr:colOff>397914</xdr:colOff>
      <xdr:row>208</xdr:row>
      <xdr:rowOff>97042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319103A4-5E6C-4B98-B876-DC21C22D9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0</xdr:colOff>
      <xdr:row>210</xdr:row>
      <xdr:rowOff>0</xdr:rowOff>
    </xdr:from>
    <xdr:to>
      <xdr:col>21</xdr:col>
      <xdr:colOff>278018</xdr:colOff>
      <xdr:row>244</xdr:row>
      <xdr:rowOff>93277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6F53AC8C-B310-4F3A-A446-E79D73B5E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0</xdr:colOff>
      <xdr:row>174</xdr:row>
      <xdr:rowOff>0</xdr:rowOff>
    </xdr:from>
    <xdr:to>
      <xdr:col>28</xdr:col>
      <xdr:colOff>571097</xdr:colOff>
      <xdr:row>208</xdr:row>
      <xdr:rowOff>98947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59506A52-C071-473B-8AD0-940227F5B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A77"/>
  <sheetViews>
    <sheetView tabSelected="1" zoomScale="39" zoomScaleNormal="39" workbookViewId="0">
      <selection activeCell="B174" sqref="B174:AD245"/>
    </sheetView>
  </sheetViews>
  <sheetFormatPr baseColWidth="10" defaultColWidth="8.83203125" defaultRowHeight="15" x14ac:dyDescent="0.2"/>
  <cols>
    <col min="3" max="3" width="11.5" customWidth="1"/>
    <col min="5" max="5" width="13.1640625" customWidth="1"/>
    <col min="7" max="7" width="9.1640625" style="1" customWidth="1"/>
    <col min="8" max="8" width="8.83203125" customWidth="1"/>
    <col min="9" max="9" width="13.1640625" customWidth="1"/>
    <col min="10" max="10" width="8.83203125" customWidth="1"/>
    <col min="11" max="11" width="8.83203125" style="1" customWidth="1"/>
    <col min="12" max="14" width="8.83203125" customWidth="1"/>
    <col min="15" max="15" width="8.83203125" style="1" customWidth="1"/>
    <col min="16" max="18" width="8.83203125" customWidth="1"/>
    <col min="19" max="19" width="8.83203125" style="1" customWidth="1"/>
    <col min="23" max="23" width="8.83203125" style="1"/>
    <col min="27" max="27" width="8.83203125" style="1"/>
  </cols>
  <sheetData>
    <row r="1" spans="3:27" ht="16" thickBot="1" x14ac:dyDescent="0.25"/>
    <row r="2" spans="3:27" ht="21" x14ac:dyDescent="0.25">
      <c r="C2" s="57" t="s">
        <v>14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9"/>
    </row>
    <row r="3" spans="3:27" x14ac:dyDescent="0.2">
      <c r="C3" s="55" t="s">
        <v>0</v>
      </c>
      <c r="D3" s="2"/>
      <c r="E3" s="2"/>
      <c r="F3" s="2"/>
      <c r="G3" s="2"/>
      <c r="H3" s="60" t="s">
        <v>1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1"/>
    </row>
    <row r="4" spans="3:27" x14ac:dyDescent="0.2">
      <c r="C4" s="55"/>
      <c r="D4" s="60" t="s">
        <v>13</v>
      </c>
      <c r="E4" s="60"/>
      <c r="F4" s="60"/>
      <c r="G4" s="7"/>
      <c r="H4" s="60" t="s">
        <v>2</v>
      </c>
      <c r="I4" s="60"/>
      <c r="J4" s="60"/>
      <c r="K4" s="7"/>
      <c r="L4" s="60" t="s">
        <v>3</v>
      </c>
      <c r="M4" s="60"/>
      <c r="N4" s="60"/>
      <c r="O4" s="7"/>
      <c r="P4" s="60" t="s">
        <v>4</v>
      </c>
      <c r="Q4" s="60"/>
      <c r="R4" s="60"/>
      <c r="S4" s="7"/>
      <c r="T4" s="60" t="s">
        <v>5</v>
      </c>
      <c r="U4" s="60"/>
      <c r="V4" s="60"/>
      <c r="W4" s="7"/>
      <c r="X4" s="60" t="s">
        <v>6</v>
      </c>
      <c r="Y4" s="60"/>
      <c r="Z4" s="60"/>
      <c r="AA4" s="3"/>
    </row>
    <row r="5" spans="3:27" ht="16" thickBot="1" x14ac:dyDescent="0.25">
      <c r="C5" s="56"/>
      <c r="D5" s="4" t="s">
        <v>7</v>
      </c>
      <c r="E5" s="4" t="s">
        <v>19</v>
      </c>
      <c r="F5" s="4" t="s">
        <v>9</v>
      </c>
      <c r="G5" s="8" t="s">
        <v>12</v>
      </c>
      <c r="H5" s="4" t="s">
        <v>7</v>
      </c>
      <c r="I5" s="4" t="s">
        <v>20</v>
      </c>
      <c r="J5" s="4" t="s">
        <v>9</v>
      </c>
      <c r="K5" s="8" t="s">
        <v>12</v>
      </c>
      <c r="L5" s="4" t="s">
        <v>7</v>
      </c>
      <c r="M5" s="4" t="s">
        <v>8</v>
      </c>
      <c r="N5" s="4" t="s">
        <v>9</v>
      </c>
      <c r="O5" s="8" t="s">
        <v>12</v>
      </c>
      <c r="P5" s="4" t="s">
        <v>7</v>
      </c>
      <c r="Q5" s="4" t="s">
        <v>8</v>
      </c>
      <c r="R5" s="4" t="s">
        <v>9</v>
      </c>
      <c r="S5" s="8" t="s">
        <v>12</v>
      </c>
      <c r="T5" s="4" t="s">
        <v>7</v>
      </c>
      <c r="U5" s="4" t="s">
        <v>8</v>
      </c>
      <c r="V5" s="4" t="s">
        <v>9</v>
      </c>
      <c r="W5" s="8" t="s">
        <v>12</v>
      </c>
      <c r="X5" s="4" t="s">
        <v>7</v>
      </c>
      <c r="Y5" s="4" t="s">
        <v>8</v>
      </c>
      <c r="Z5" s="4" t="s">
        <v>9</v>
      </c>
      <c r="AA5" s="5" t="s">
        <v>12</v>
      </c>
    </row>
    <row r="6" spans="3:27" x14ac:dyDescent="0.2">
      <c r="C6" s="9">
        <v>1975</v>
      </c>
      <c r="D6" s="10"/>
      <c r="E6" s="10"/>
      <c r="F6" s="10"/>
      <c r="G6" s="11">
        <f t="shared" ref="G6:G11" si="0">SUM(D6:F6)</f>
        <v>0</v>
      </c>
      <c r="H6" s="10"/>
      <c r="I6" s="10"/>
      <c r="J6" s="10"/>
      <c r="K6" s="11">
        <f t="shared" ref="K6:K11" si="1">SUM(H6:J6)</f>
        <v>0</v>
      </c>
      <c r="L6" s="10"/>
      <c r="M6" s="10"/>
      <c r="N6" s="10"/>
      <c r="O6" s="11">
        <f t="shared" ref="O6:O11" si="2">SUM(L6:N6)</f>
        <v>0</v>
      </c>
      <c r="P6" s="10"/>
      <c r="Q6" s="10"/>
      <c r="R6" s="10"/>
      <c r="S6" s="11">
        <f t="shared" ref="S6:S11" si="3">SUM(P6:R6)</f>
        <v>0</v>
      </c>
      <c r="T6" s="10"/>
      <c r="U6" s="10"/>
      <c r="V6" s="10"/>
      <c r="W6" s="11">
        <f t="shared" ref="W6:W11" si="4">SUM(T6:V6)</f>
        <v>0</v>
      </c>
      <c r="X6" s="10"/>
      <c r="Y6" s="10"/>
      <c r="Z6" s="10"/>
      <c r="AA6" s="12">
        <f t="shared" ref="AA6:AA11" si="5">SUM(X6:Z6)</f>
        <v>0</v>
      </c>
    </row>
    <row r="7" spans="3:27" x14ac:dyDescent="0.2">
      <c r="C7" s="9">
        <v>1976</v>
      </c>
      <c r="D7" s="10"/>
      <c r="E7" s="10"/>
      <c r="F7" s="10"/>
      <c r="G7" s="11">
        <f t="shared" si="0"/>
        <v>0</v>
      </c>
      <c r="H7" s="10"/>
      <c r="I7" s="10"/>
      <c r="J7" s="10"/>
      <c r="K7" s="11">
        <f t="shared" si="1"/>
        <v>0</v>
      </c>
      <c r="L7" s="10"/>
      <c r="M7" s="10"/>
      <c r="N7" s="10"/>
      <c r="O7" s="11">
        <f t="shared" si="2"/>
        <v>0</v>
      </c>
      <c r="P7" s="10"/>
      <c r="Q7" s="10"/>
      <c r="R7" s="10"/>
      <c r="S7" s="11">
        <f t="shared" si="3"/>
        <v>0</v>
      </c>
      <c r="T7" s="10"/>
      <c r="U7" s="10"/>
      <c r="V7" s="10"/>
      <c r="W7" s="11">
        <f t="shared" si="4"/>
        <v>0</v>
      </c>
      <c r="X7" s="10"/>
      <c r="Y7" s="10"/>
      <c r="Z7" s="10"/>
      <c r="AA7" s="12">
        <f t="shared" si="5"/>
        <v>0</v>
      </c>
    </row>
    <row r="8" spans="3:27" x14ac:dyDescent="0.2">
      <c r="C8" s="9">
        <v>1977</v>
      </c>
      <c r="D8" s="10"/>
      <c r="E8" s="10"/>
      <c r="F8" s="10"/>
      <c r="G8" s="11">
        <f t="shared" si="0"/>
        <v>0</v>
      </c>
      <c r="H8" s="10"/>
      <c r="I8" s="10"/>
      <c r="J8" s="10"/>
      <c r="K8" s="11">
        <f t="shared" si="1"/>
        <v>0</v>
      </c>
      <c r="L8" s="10"/>
      <c r="M8" s="10"/>
      <c r="N8" s="10"/>
      <c r="O8" s="11">
        <f t="shared" si="2"/>
        <v>0</v>
      </c>
      <c r="P8" s="10"/>
      <c r="Q8" s="10"/>
      <c r="R8" s="10"/>
      <c r="S8" s="11">
        <f t="shared" si="3"/>
        <v>0</v>
      </c>
      <c r="T8" s="10"/>
      <c r="U8" s="10"/>
      <c r="V8" s="10"/>
      <c r="W8" s="11">
        <f t="shared" si="4"/>
        <v>0</v>
      </c>
      <c r="X8" s="10"/>
      <c r="Y8" s="10"/>
      <c r="Z8" s="10"/>
      <c r="AA8" s="12">
        <f t="shared" si="5"/>
        <v>0</v>
      </c>
    </row>
    <row r="9" spans="3:27" x14ac:dyDescent="0.2">
      <c r="C9" s="9">
        <v>1978</v>
      </c>
      <c r="D9" s="10"/>
      <c r="E9" s="10"/>
      <c r="F9" s="10"/>
      <c r="G9" s="11">
        <f t="shared" si="0"/>
        <v>0</v>
      </c>
      <c r="H9" s="10"/>
      <c r="I9" s="10"/>
      <c r="J9" s="10"/>
      <c r="K9" s="11">
        <f t="shared" si="1"/>
        <v>0</v>
      </c>
      <c r="L9" s="10"/>
      <c r="M9" s="10"/>
      <c r="N9" s="10"/>
      <c r="O9" s="11">
        <f t="shared" si="2"/>
        <v>0</v>
      </c>
      <c r="P9" s="10"/>
      <c r="Q9" s="10"/>
      <c r="R9" s="10"/>
      <c r="S9" s="11">
        <f t="shared" si="3"/>
        <v>0</v>
      </c>
      <c r="T9" s="10"/>
      <c r="U9" s="10"/>
      <c r="V9" s="10"/>
      <c r="W9" s="11">
        <f t="shared" si="4"/>
        <v>0</v>
      </c>
      <c r="X9" s="10"/>
      <c r="Y9" s="10"/>
      <c r="Z9" s="10"/>
      <c r="AA9" s="12">
        <f t="shared" si="5"/>
        <v>0</v>
      </c>
    </row>
    <row r="10" spans="3:27" x14ac:dyDescent="0.2">
      <c r="C10" s="9">
        <v>1979</v>
      </c>
      <c r="D10" s="10"/>
      <c r="E10" s="10"/>
      <c r="F10" s="10"/>
      <c r="G10" s="11">
        <f t="shared" si="0"/>
        <v>0</v>
      </c>
      <c r="H10" s="10"/>
      <c r="I10" s="10"/>
      <c r="J10" s="10"/>
      <c r="K10" s="11">
        <f t="shared" si="1"/>
        <v>0</v>
      </c>
      <c r="L10" s="10"/>
      <c r="M10" s="10"/>
      <c r="N10" s="10"/>
      <c r="O10" s="11">
        <f t="shared" si="2"/>
        <v>0</v>
      </c>
      <c r="P10" s="10"/>
      <c r="Q10" s="10"/>
      <c r="R10" s="10"/>
      <c r="S10" s="11">
        <f t="shared" si="3"/>
        <v>0</v>
      </c>
      <c r="T10" s="10"/>
      <c r="U10" s="10"/>
      <c r="V10" s="10"/>
      <c r="W10" s="11">
        <f t="shared" si="4"/>
        <v>0</v>
      </c>
      <c r="X10" s="10"/>
      <c r="Y10" s="10"/>
      <c r="Z10" s="10"/>
      <c r="AA10" s="12">
        <f t="shared" si="5"/>
        <v>0</v>
      </c>
    </row>
    <row r="11" spans="3:27" x14ac:dyDescent="0.2">
      <c r="C11" s="9">
        <v>1980</v>
      </c>
      <c r="D11" s="10"/>
      <c r="E11" s="10"/>
      <c r="F11" s="10"/>
      <c r="G11" s="11">
        <f t="shared" si="0"/>
        <v>0</v>
      </c>
      <c r="H11" s="10"/>
      <c r="I11" s="10"/>
      <c r="J11" s="10"/>
      <c r="K11" s="11">
        <f t="shared" si="1"/>
        <v>0</v>
      </c>
      <c r="L11" s="10"/>
      <c r="M11" s="10"/>
      <c r="N11" s="10"/>
      <c r="O11" s="11">
        <f t="shared" si="2"/>
        <v>0</v>
      </c>
      <c r="P11" s="10"/>
      <c r="Q11" s="10"/>
      <c r="R11" s="10"/>
      <c r="S11" s="11">
        <f t="shared" si="3"/>
        <v>0</v>
      </c>
      <c r="T11" s="10"/>
      <c r="U11" s="10"/>
      <c r="V11" s="10"/>
      <c r="W11" s="11">
        <f t="shared" si="4"/>
        <v>0</v>
      </c>
      <c r="X11" s="10"/>
      <c r="Y11" s="10"/>
      <c r="Z11" s="10"/>
      <c r="AA11" s="12">
        <f t="shared" si="5"/>
        <v>0</v>
      </c>
    </row>
    <row r="12" spans="3:27" x14ac:dyDescent="0.2">
      <c r="C12" s="9">
        <v>1981</v>
      </c>
      <c r="D12" s="10"/>
      <c r="E12" s="10"/>
      <c r="F12" s="10"/>
      <c r="G12" s="11">
        <f t="shared" ref="G12:G21" si="6">SUM(D12:F12)</f>
        <v>0</v>
      </c>
      <c r="H12" s="10"/>
      <c r="I12" s="10"/>
      <c r="J12" s="10"/>
      <c r="K12" s="11">
        <f t="shared" ref="K12:K21" si="7">SUM(H12:J12)</f>
        <v>0</v>
      </c>
      <c r="L12" s="10"/>
      <c r="M12" s="10"/>
      <c r="N12" s="10"/>
      <c r="O12" s="11">
        <f t="shared" ref="O12:O21" si="8">SUM(L12:N12)</f>
        <v>0</v>
      </c>
      <c r="P12" s="10"/>
      <c r="Q12" s="10"/>
      <c r="R12" s="10"/>
      <c r="S12" s="11">
        <f t="shared" ref="S12:S21" si="9">SUM(P12:R12)</f>
        <v>0</v>
      </c>
      <c r="T12" s="10"/>
      <c r="U12" s="10"/>
      <c r="V12" s="10"/>
      <c r="W12" s="11">
        <f t="shared" ref="W12:W21" si="10">SUM(T12:V12)</f>
        <v>0</v>
      </c>
      <c r="X12" s="10"/>
      <c r="Y12" s="10"/>
      <c r="Z12" s="10"/>
      <c r="AA12" s="12">
        <f t="shared" ref="AA12:AA21" si="11">SUM(X12:Z12)</f>
        <v>0</v>
      </c>
    </row>
    <row r="13" spans="3:27" x14ac:dyDescent="0.2">
      <c r="C13" s="9">
        <v>1982</v>
      </c>
      <c r="D13" s="10"/>
      <c r="E13" s="10"/>
      <c r="F13" s="10"/>
      <c r="G13" s="11">
        <f t="shared" si="6"/>
        <v>0</v>
      </c>
      <c r="H13" s="10"/>
      <c r="I13" s="10"/>
      <c r="J13" s="10"/>
      <c r="K13" s="11">
        <f t="shared" si="7"/>
        <v>0</v>
      </c>
      <c r="L13" s="10"/>
      <c r="M13" s="10"/>
      <c r="N13" s="10"/>
      <c r="O13" s="11">
        <f t="shared" si="8"/>
        <v>0</v>
      </c>
      <c r="P13" s="10"/>
      <c r="Q13" s="10"/>
      <c r="R13" s="10">
        <v>131</v>
      </c>
      <c r="S13" s="11">
        <f t="shared" si="9"/>
        <v>131</v>
      </c>
      <c r="T13" s="10"/>
      <c r="U13" s="10"/>
      <c r="V13" s="10"/>
      <c r="W13" s="11">
        <f t="shared" si="10"/>
        <v>0</v>
      </c>
      <c r="X13" s="10"/>
      <c r="Y13" s="10"/>
      <c r="Z13" s="10"/>
      <c r="AA13" s="12">
        <f t="shared" si="11"/>
        <v>0</v>
      </c>
    </row>
    <row r="14" spans="3:27" x14ac:dyDescent="0.2">
      <c r="C14" s="9">
        <v>1983</v>
      </c>
      <c r="D14" s="10"/>
      <c r="E14" s="10"/>
      <c r="F14" s="10">
        <v>5</v>
      </c>
      <c r="G14" s="11">
        <f t="shared" si="6"/>
        <v>5</v>
      </c>
      <c r="H14" s="10"/>
      <c r="I14" s="10"/>
      <c r="J14" s="10"/>
      <c r="K14" s="11">
        <f t="shared" si="7"/>
        <v>0</v>
      </c>
      <c r="L14" s="10"/>
      <c r="M14" s="10"/>
      <c r="N14" s="10"/>
      <c r="O14" s="11">
        <f t="shared" si="8"/>
        <v>0</v>
      </c>
      <c r="P14" s="10"/>
      <c r="Q14" s="10"/>
      <c r="R14" s="10">
        <v>12</v>
      </c>
      <c r="S14" s="11">
        <f t="shared" si="9"/>
        <v>12</v>
      </c>
      <c r="T14" s="10"/>
      <c r="U14" s="10"/>
      <c r="V14" s="10"/>
      <c r="W14" s="11">
        <f t="shared" si="10"/>
        <v>0</v>
      </c>
      <c r="X14" s="10"/>
      <c r="Y14" s="10"/>
      <c r="Z14" s="10"/>
      <c r="AA14" s="12">
        <f t="shared" si="11"/>
        <v>0</v>
      </c>
    </row>
    <row r="15" spans="3:27" x14ac:dyDescent="0.2">
      <c r="C15" s="9">
        <v>1984</v>
      </c>
      <c r="D15" s="10"/>
      <c r="E15" s="10"/>
      <c r="F15" s="10">
        <v>2</v>
      </c>
      <c r="G15" s="11">
        <f t="shared" si="6"/>
        <v>2</v>
      </c>
      <c r="H15" s="10"/>
      <c r="I15" s="10"/>
      <c r="J15" s="10"/>
      <c r="K15" s="11">
        <f t="shared" si="7"/>
        <v>0</v>
      </c>
      <c r="L15" s="10"/>
      <c r="M15" s="10">
        <v>3</v>
      </c>
      <c r="N15" s="10"/>
      <c r="O15" s="11">
        <f t="shared" si="8"/>
        <v>3</v>
      </c>
      <c r="P15" s="10"/>
      <c r="Q15" s="10">
        <v>1</v>
      </c>
      <c r="R15" s="10">
        <v>94</v>
      </c>
      <c r="S15" s="11">
        <f t="shared" si="9"/>
        <v>95</v>
      </c>
      <c r="T15" s="10"/>
      <c r="U15" s="10"/>
      <c r="V15" s="10"/>
      <c r="W15" s="11">
        <f t="shared" si="10"/>
        <v>0</v>
      </c>
      <c r="X15" s="10"/>
      <c r="Y15" s="10"/>
      <c r="Z15" s="10"/>
      <c r="AA15" s="12">
        <f t="shared" si="11"/>
        <v>0</v>
      </c>
    </row>
    <row r="16" spans="3:27" x14ac:dyDescent="0.2">
      <c r="C16" s="9">
        <v>1985</v>
      </c>
      <c r="D16" s="10"/>
      <c r="E16" s="10">
        <v>6</v>
      </c>
      <c r="F16" s="10">
        <f>(74+48)</f>
        <v>122</v>
      </c>
      <c r="G16" s="11">
        <f t="shared" si="6"/>
        <v>128</v>
      </c>
      <c r="H16" s="10"/>
      <c r="I16" s="10"/>
      <c r="J16" s="10"/>
      <c r="K16" s="11">
        <f t="shared" si="7"/>
        <v>0</v>
      </c>
      <c r="L16" s="10"/>
      <c r="M16" s="10"/>
      <c r="N16" s="10"/>
      <c r="O16" s="11">
        <f t="shared" si="8"/>
        <v>0</v>
      </c>
      <c r="P16" s="10"/>
      <c r="Q16" s="10">
        <v>48</v>
      </c>
      <c r="R16" s="10">
        <f>(15+46)</f>
        <v>61</v>
      </c>
      <c r="S16" s="11">
        <f t="shared" si="9"/>
        <v>109</v>
      </c>
      <c r="T16" s="10"/>
      <c r="U16" s="10">
        <v>3</v>
      </c>
      <c r="V16" s="10">
        <v>1</v>
      </c>
      <c r="W16" s="11">
        <f t="shared" si="10"/>
        <v>4</v>
      </c>
      <c r="X16" s="10"/>
      <c r="Y16" s="10"/>
      <c r="Z16" s="10"/>
      <c r="AA16" s="12">
        <f t="shared" si="11"/>
        <v>0</v>
      </c>
    </row>
    <row r="17" spans="3:27" x14ac:dyDescent="0.2">
      <c r="C17" s="9">
        <v>1986</v>
      </c>
      <c r="D17" s="10"/>
      <c r="E17" s="10">
        <v>6</v>
      </c>
      <c r="F17" s="10">
        <f>(17+182+12)</f>
        <v>211</v>
      </c>
      <c r="G17" s="11">
        <f t="shared" si="6"/>
        <v>217</v>
      </c>
      <c r="H17" s="10"/>
      <c r="I17" s="10"/>
      <c r="J17" s="10"/>
      <c r="K17" s="11">
        <f t="shared" si="7"/>
        <v>0</v>
      </c>
      <c r="L17" s="10"/>
      <c r="M17" s="10"/>
      <c r="N17" s="10">
        <v>35</v>
      </c>
      <c r="O17" s="11">
        <f t="shared" si="8"/>
        <v>35</v>
      </c>
      <c r="P17" s="10"/>
      <c r="Q17" s="10">
        <v>24</v>
      </c>
      <c r="R17" s="10">
        <v>71</v>
      </c>
      <c r="S17" s="11">
        <f t="shared" si="9"/>
        <v>95</v>
      </c>
      <c r="T17" s="10"/>
      <c r="U17" s="10">
        <v>24</v>
      </c>
      <c r="V17" s="10">
        <v>2</v>
      </c>
      <c r="W17" s="11">
        <f t="shared" si="10"/>
        <v>26</v>
      </c>
      <c r="X17" s="10"/>
      <c r="Y17" s="10"/>
      <c r="Z17" s="10"/>
      <c r="AA17" s="12">
        <f t="shared" si="11"/>
        <v>0</v>
      </c>
    </row>
    <row r="18" spans="3:27" x14ac:dyDescent="0.2">
      <c r="C18" s="9">
        <v>1987</v>
      </c>
      <c r="D18" s="10"/>
      <c r="E18" s="10">
        <v>1</v>
      </c>
      <c r="F18" s="10">
        <f>(11+562)</f>
        <v>573</v>
      </c>
      <c r="G18" s="11">
        <f t="shared" si="6"/>
        <v>574</v>
      </c>
      <c r="H18" s="10"/>
      <c r="I18" s="10"/>
      <c r="J18" s="10"/>
      <c r="K18" s="11">
        <f t="shared" si="7"/>
        <v>0</v>
      </c>
      <c r="L18" s="10"/>
      <c r="M18" s="10">
        <v>1</v>
      </c>
      <c r="N18" s="10">
        <v>2</v>
      </c>
      <c r="O18" s="11">
        <f t="shared" si="8"/>
        <v>3</v>
      </c>
      <c r="P18" s="10"/>
      <c r="Q18" s="10">
        <v>17</v>
      </c>
      <c r="R18" s="10">
        <f>(105+195+64+91+1+69+5)</f>
        <v>530</v>
      </c>
      <c r="S18" s="11">
        <f t="shared" si="9"/>
        <v>547</v>
      </c>
      <c r="T18" s="10"/>
      <c r="U18" s="10">
        <v>10</v>
      </c>
      <c r="V18" s="10">
        <v>16</v>
      </c>
      <c r="W18" s="11">
        <f t="shared" si="10"/>
        <v>26</v>
      </c>
      <c r="X18" s="10"/>
      <c r="Y18" s="10"/>
      <c r="Z18" s="10"/>
      <c r="AA18" s="12">
        <f t="shared" si="11"/>
        <v>0</v>
      </c>
    </row>
    <row r="19" spans="3:27" x14ac:dyDescent="0.2">
      <c r="C19" s="9">
        <v>1988</v>
      </c>
      <c r="D19" s="10"/>
      <c r="E19" s="10">
        <v>16</v>
      </c>
      <c r="F19" s="10">
        <f>(14+1856+22+17+46+6)</f>
        <v>1961</v>
      </c>
      <c r="G19" s="11">
        <f t="shared" si="6"/>
        <v>1977</v>
      </c>
      <c r="H19" s="10"/>
      <c r="I19" s="10"/>
      <c r="J19" s="10"/>
      <c r="K19" s="11">
        <f t="shared" si="7"/>
        <v>0</v>
      </c>
      <c r="L19" s="10"/>
      <c r="M19" s="10"/>
      <c r="N19" s="10"/>
      <c r="O19" s="11">
        <f t="shared" si="8"/>
        <v>0</v>
      </c>
      <c r="P19" s="10"/>
      <c r="Q19" s="10">
        <v>55</v>
      </c>
      <c r="R19" s="10">
        <f>(59+111+99+160+111+106+94+61+32+227)</f>
        <v>1060</v>
      </c>
      <c r="S19" s="11">
        <f t="shared" si="9"/>
        <v>1115</v>
      </c>
      <c r="T19" s="10"/>
      <c r="U19" s="10">
        <v>4</v>
      </c>
      <c r="V19" s="10">
        <v>37</v>
      </c>
      <c r="W19" s="11">
        <f t="shared" si="10"/>
        <v>41</v>
      </c>
      <c r="X19" s="10"/>
      <c r="Y19" s="10"/>
      <c r="Z19" s="10"/>
      <c r="AA19" s="12">
        <f t="shared" si="11"/>
        <v>0</v>
      </c>
    </row>
    <row r="20" spans="3:27" x14ac:dyDescent="0.2">
      <c r="C20" s="9">
        <v>1989</v>
      </c>
      <c r="D20" s="10"/>
      <c r="E20" s="10">
        <v>30</v>
      </c>
      <c r="F20" s="10">
        <f>(14+34+877+22+845+19)</f>
        <v>1811</v>
      </c>
      <c r="G20" s="11">
        <f t="shared" si="6"/>
        <v>1841</v>
      </c>
      <c r="H20" s="10"/>
      <c r="I20" s="10"/>
      <c r="J20" s="10"/>
      <c r="K20" s="11">
        <f t="shared" si="7"/>
        <v>0</v>
      </c>
      <c r="L20" s="10"/>
      <c r="M20" s="10"/>
      <c r="N20" s="10"/>
      <c r="O20" s="11">
        <f t="shared" si="8"/>
        <v>0</v>
      </c>
      <c r="P20" s="10">
        <v>3</v>
      </c>
      <c r="Q20" s="10">
        <v>65</v>
      </c>
      <c r="R20" s="10">
        <f>(91+34+92+104+94+16+662+132+57+139)</f>
        <v>1421</v>
      </c>
      <c r="S20" s="11">
        <f t="shared" si="9"/>
        <v>1489</v>
      </c>
      <c r="T20" s="10"/>
      <c r="U20" s="10">
        <v>4</v>
      </c>
      <c r="V20" s="10">
        <v>25</v>
      </c>
      <c r="W20" s="11">
        <f t="shared" si="10"/>
        <v>29</v>
      </c>
      <c r="X20" s="10"/>
      <c r="Y20" s="10"/>
      <c r="Z20" s="10"/>
      <c r="AA20" s="12">
        <f t="shared" si="11"/>
        <v>0</v>
      </c>
    </row>
    <row r="21" spans="3:27" x14ac:dyDescent="0.2">
      <c r="C21" s="9">
        <v>1990</v>
      </c>
      <c r="D21" s="13"/>
      <c r="E21" s="13">
        <v>3</v>
      </c>
      <c r="F21" s="13">
        <f>(6+18)</f>
        <v>24</v>
      </c>
      <c r="G21" s="11">
        <f t="shared" si="6"/>
        <v>27</v>
      </c>
      <c r="H21" s="10"/>
      <c r="I21" s="10"/>
      <c r="J21" s="10"/>
      <c r="K21" s="11">
        <f t="shared" si="7"/>
        <v>0</v>
      </c>
      <c r="L21" s="10"/>
      <c r="M21" s="10"/>
      <c r="N21" s="10">
        <v>24</v>
      </c>
      <c r="O21" s="11">
        <f t="shared" si="8"/>
        <v>24</v>
      </c>
      <c r="P21" s="10"/>
      <c r="Q21" s="10">
        <v>60</v>
      </c>
      <c r="R21" s="10">
        <f>(45+147+58+91+14)</f>
        <v>355</v>
      </c>
      <c r="S21" s="11">
        <f t="shared" si="9"/>
        <v>415</v>
      </c>
      <c r="T21" s="10"/>
      <c r="U21" s="10"/>
      <c r="V21" s="10">
        <v>27</v>
      </c>
      <c r="W21" s="11">
        <f t="shared" si="10"/>
        <v>27</v>
      </c>
      <c r="X21" s="10"/>
      <c r="Y21" s="10"/>
      <c r="Z21" s="10"/>
      <c r="AA21" s="12">
        <f t="shared" si="11"/>
        <v>0</v>
      </c>
    </row>
    <row r="22" spans="3:27" x14ac:dyDescent="0.2">
      <c r="C22" s="9">
        <v>1991</v>
      </c>
      <c r="D22" s="10"/>
      <c r="E22" s="10">
        <f>(25+34)</f>
        <v>59</v>
      </c>
      <c r="F22" s="10">
        <f>(26+35+197+7+90+2)</f>
        <v>357</v>
      </c>
      <c r="G22" s="11">
        <f t="shared" ref="G22:G27" si="12">SUM(D22:F22)</f>
        <v>416</v>
      </c>
      <c r="H22" s="10"/>
      <c r="I22" s="10"/>
      <c r="J22" s="10"/>
      <c r="K22" s="11">
        <f t="shared" ref="K22:K27" si="13">SUM(H22:J22)</f>
        <v>0</v>
      </c>
      <c r="L22" s="10"/>
      <c r="M22" s="10"/>
      <c r="N22" s="10">
        <v>4</v>
      </c>
      <c r="O22" s="11">
        <f t="shared" ref="O22:O27" si="14">SUM(L22:N22)</f>
        <v>4</v>
      </c>
      <c r="P22" s="10"/>
      <c r="Q22" s="10">
        <f>(240+130+13+88)</f>
        <v>471</v>
      </c>
      <c r="R22" s="10">
        <f>(66+253+165+191+194+96+71+60+153+131+252+52+3149+200)</f>
        <v>5033</v>
      </c>
      <c r="S22" s="11">
        <f t="shared" ref="S22:S27" si="15">SUM(P22:R22)</f>
        <v>5504</v>
      </c>
      <c r="T22" s="10"/>
      <c r="U22" s="10">
        <v>34</v>
      </c>
      <c r="V22" s="10">
        <v>157</v>
      </c>
      <c r="W22" s="11">
        <f t="shared" ref="W22:W27" si="16">SUM(T22:V22)</f>
        <v>191</v>
      </c>
      <c r="X22" s="10"/>
      <c r="Y22" s="10"/>
      <c r="Z22" s="10"/>
      <c r="AA22" s="12">
        <f t="shared" ref="AA22:AA27" si="17">SUM(X22:Z22)</f>
        <v>0</v>
      </c>
    </row>
    <row r="23" spans="3:27" x14ac:dyDescent="0.2">
      <c r="C23" s="9">
        <v>1992</v>
      </c>
      <c r="D23" s="10"/>
      <c r="E23" s="10">
        <v>37</v>
      </c>
      <c r="F23" s="10">
        <f>(19+55+328+14+92+266+105+50+88+37+2)</f>
        <v>1056</v>
      </c>
      <c r="G23" s="11">
        <f t="shared" si="12"/>
        <v>1093</v>
      </c>
      <c r="H23" s="10"/>
      <c r="I23" s="10"/>
      <c r="J23" s="10"/>
      <c r="K23" s="11">
        <f t="shared" si="13"/>
        <v>0</v>
      </c>
      <c r="L23" s="10"/>
      <c r="M23" s="10"/>
      <c r="N23" s="10">
        <v>2</v>
      </c>
      <c r="O23" s="11">
        <f t="shared" si="14"/>
        <v>2</v>
      </c>
      <c r="P23" s="10"/>
      <c r="Q23" s="10">
        <f>(431+50)</f>
        <v>481</v>
      </c>
      <c r="R23" s="10">
        <f>(48+1113+79+78+84+36+110+76+82+128+159+12+1225+114)</f>
        <v>3344</v>
      </c>
      <c r="S23" s="11">
        <f t="shared" si="15"/>
        <v>3825</v>
      </c>
      <c r="T23" s="10"/>
      <c r="U23" s="10">
        <v>5</v>
      </c>
      <c r="V23" s="10">
        <v>120</v>
      </c>
      <c r="W23" s="11">
        <f t="shared" si="16"/>
        <v>125</v>
      </c>
      <c r="X23" s="10"/>
      <c r="Y23" s="10"/>
      <c r="Z23" s="10"/>
      <c r="AA23" s="12">
        <f t="shared" si="17"/>
        <v>0</v>
      </c>
    </row>
    <row r="24" spans="3:27" x14ac:dyDescent="0.2">
      <c r="C24" s="9">
        <v>1993</v>
      </c>
      <c r="D24" s="10"/>
      <c r="E24" s="10">
        <v>49</v>
      </c>
      <c r="F24" s="10">
        <f>(25+85+38+42+16+29+29+13)</f>
        <v>277</v>
      </c>
      <c r="G24" s="11">
        <f t="shared" si="12"/>
        <v>326</v>
      </c>
      <c r="H24" s="10"/>
      <c r="I24" s="10"/>
      <c r="J24" s="10"/>
      <c r="K24" s="11">
        <f t="shared" si="13"/>
        <v>0</v>
      </c>
      <c r="L24" s="10"/>
      <c r="M24" s="10"/>
      <c r="N24" s="10"/>
      <c r="O24" s="11">
        <f t="shared" si="14"/>
        <v>0</v>
      </c>
      <c r="P24" s="10"/>
      <c r="Q24" s="10">
        <f>(108+107+82)</f>
        <v>297</v>
      </c>
      <c r="R24" s="10">
        <f>(38+7796+135+103+172+101+85+185+59+123+81+15+2167+57+84+102+97+19+97+12+484+156)</f>
        <v>12168</v>
      </c>
      <c r="S24" s="11">
        <f t="shared" si="15"/>
        <v>12465</v>
      </c>
      <c r="T24" s="10"/>
      <c r="U24" s="10">
        <v>13</v>
      </c>
      <c r="V24" s="10"/>
      <c r="W24" s="11">
        <f t="shared" si="16"/>
        <v>13</v>
      </c>
      <c r="X24" s="10"/>
      <c r="Y24" s="10"/>
      <c r="Z24" s="10"/>
      <c r="AA24" s="12">
        <f t="shared" si="17"/>
        <v>0</v>
      </c>
    </row>
    <row r="25" spans="3:27" x14ac:dyDescent="0.2">
      <c r="C25" s="9">
        <v>1994</v>
      </c>
      <c r="D25" s="10"/>
      <c r="E25" s="10">
        <f>(16+13+9)</f>
        <v>38</v>
      </c>
      <c r="F25" s="10">
        <f>(20+16+185+39+58+66+35)</f>
        <v>419</v>
      </c>
      <c r="G25" s="11">
        <f t="shared" si="12"/>
        <v>457</v>
      </c>
      <c r="H25" s="10"/>
      <c r="I25" s="10"/>
      <c r="J25" s="10"/>
      <c r="K25" s="11">
        <f t="shared" si="13"/>
        <v>0</v>
      </c>
      <c r="L25" s="10"/>
      <c r="M25" s="10"/>
      <c r="N25" s="10">
        <v>5</v>
      </c>
      <c r="O25" s="11">
        <f t="shared" si="14"/>
        <v>5</v>
      </c>
      <c r="P25" s="10"/>
      <c r="Q25" s="10">
        <f>(69+49+33)</f>
        <v>151</v>
      </c>
      <c r="R25" s="10">
        <f>(40+3725+126+84+99+113+241+454+291+787+40+83+72+28+188+189+505+87+15+958+24+596+194+74+171+4501)</f>
        <v>13685</v>
      </c>
      <c r="S25" s="11">
        <f t="shared" si="15"/>
        <v>13836</v>
      </c>
      <c r="T25" s="10"/>
      <c r="U25" s="10">
        <v>35</v>
      </c>
      <c r="V25" s="10">
        <f>(52+3516+2917)</f>
        <v>6485</v>
      </c>
      <c r="W25" s="11">
        <f t="shared" si="16"/>
        <v>6520</v>
      </c>
      <c r="X25" s="10"/>
      <c r="Y25" s="10"/>
      <c r="Z25" s="10"/>
      <c r="AA25" s="12">
        <f t="shared" si="17"/>
        <v>0</v>
      </c>
    </row>
    <row r="26" spans="3:27" x14ac:dyDescent="0.2">
      <c r="C26" s="9">
        <v>1995</v>
      </c>
      <c r="D26" s="10"/>
      <c r="E26" s="10">
        <f>(25+8+1)</f>
        <v>34</v>
      </c>
      <c r="F26" s="10">
        <f>(23+13+48+1+217+66+54+11+267+17+156)</f>
        <v>873</v>
      </c>
      <c r="G26" s="11">
        <f t="shared" si="12"/>
        <v>907</v>
      </c>
      <c r="H26" s="10"/>
      <c r="I26" s="10"/>
      <c r="J26" s="10"/>
      <c r="K26" s="11">
        <f t="shared" si="13"/>
        <v>0</v>
      </c>
      <c r="L26" s="10"/>
      <c r="M26" s="10"/>
      <c r="N26" s="10">
        <v>36</v>
      </c>
      <c r="O26" s="11">
        <f t="shared" si="14"/>
        <v>36</v>
      </c>
      <c r="P26" s="10"/>
      <c r="Q26" s="10">
        <f>(10+109+70+36)</f>
        <v>225</v>
      </c>
      <c r="R26" s="10">
        <f>(118+82+296+320+270+205+599+250+152+30326+96+29+2987+883+1865+430+142+78+109+22+2028+2832+5135+50+2028)</f>
        <v>51332</v>
      </c>
      <c r="S26" s="11">
        <f t="shared" si="15"/>
        <v>51557</v>
      </c>
      <c r="T26" s="10"/>
      <c r="U26" s="10">
        <v>8</v>
      </c>
      <c r="V26" s="10">
        <v>1763</v>
      </c>
      <c r="W26" s="11">
        <f t="shared" si="16"/>
        <v>1771</v>
      </c>
      <c r="X26" s="10"/>
      <c r="Y26" s="10"/>
      <c r="Z26" s="10"/>
      <c r="AA26" s="12">
        <f t="shared" si="17"/>
        <v>0</v>
      </c>
    </row>
    <row r="27" spans="3:27" x14ac:dyDescent="0.2">
      <c r="C27" s="9">
        <v>1996</v>
      </c>
      <c r="D27" s="10"/>
      <c r="E27" s="10">
        <f>(31)</f>
        <v>31</v>
      </c>
      <c r="F27" s="10">
        <f>(28+14+411+78+41)</f>
        <v>572</v>
      </c>
      <c r="G27" s="11">
        <f t="shared" si="12"/>
        <v>603</v>
      </c>
      <c r="H27" s="10"/>
      <c r="I27" s="10"/>
      <c r="J27" s="10"/>
      <c r="K27" s="11">
        <f t="shared" si="13"/>
        <v>0</v>
      </c>
      <c r="L27" s="10"/>
      <c r="M27" s="10"/>
      <c r="N27" s="10">
        <v>6</v>
      </c>
      <c r="O27" s="11">
        <f t="shared" si="14"/>
        <v>6</v>
      </c>
      <c r="P27" s="10"/>
      <c r="Q27" s="10">
        <f>(10+168+64+91)</f>
        <v>333</v>
      </c>
      <c r="R27" s="10">
        <f>(43+127+74+96+132+92+69+315+341+470+181+72+339+340+21860+110+108+69+170+482+426+89+3312+81+178+90+72+106+720+16+6147)</f>
        <v>36727</v>
      </c>
      <c r="S27" s="11">
        <f t="shared" si="15"/>
        <v>37060</v>
      </c>
      <c r="T27" s="10"/>
      <c r="U27" s="10">
        <v>14</v>
      </c>
      <c r="V27" s="10">
        <v>604</v>
      </c>
      <c r="W27" s="11">
        <f t="shared" si="16"/>
        <v>618</v>
      </c>
      <c r="X27" s="10"/>
      <c r="Y27" s="10"/>
      <c r="Z27" s="10"/>
      <c r="AA27" s="12">
        <f t="shared" si="17"/>
        <v>0</v>
      </c>
    </row>
    <row r="28" spans="3:27" x14ac:dyDescent="0.2">
      <c r="C28" s="6">
        <v>1997</v>
      </c>
      <c r="D28" s="10"/>
      <c r="E28" s="10">
        <v>27</v>
      </c>
      <c r="F28" s="10">
        <f>(230+91+67+44+81+63+39+75+68+25+55+80+45+164+234+29+62+72+8)</f>
        <v>1532</v>
      </c>
      <c r="G28" s="11">
        <f>SUM(D28:F28)</f>
        <v>1559</v>
      </c>
      <c r="H28" s="10">
        <v>1</v>
      </c>
      <c r="I28" s="10"/>
      <c r="J28" s="10">
        <v>1</v>
      </c>
      <c r="K28" s="11">
        <f>SUM(H28:J28)</f>
        <v>2</v>
      </c>
      <c r="L28" s="10"/>
      <c r="M28" s="10"/>
      <c r="N28" s="10"/>
      <c r="O28" s="11">
        <f>SUM(L28:N28)</f>
        <v>0</v>
      </c>
      <c r="P28" s="10"/>
      <c r="Q28" s="10">
        <f>(115+85+36+7)</f>
        <v>243</v>
      </c>
      <c r="R28" s="10">
        <f>(72+77+118+396+142+288+36+68+18+115+97+218+499+97+72+88+7386)</f>
        <v>9787</v>
      </c>
      <c r="S28" s="11">
        <f>SUM(P28:R28)</f>
        <v>10030</v>
      </c>
      <c r="T28" s="10"/>
      <c r="U28" s="10">
        <v>4</v>
      </c>
      <c r="V28" s="10">
        <v>265</v>
      </c>
      <c r="W28" s="11">
        <f>SUM(T28:V28)</f>
        <v>269</v>
      </c>
      <c r="X28" s="10"/>
      <c r="Y28" s="10"/>
      <c r="Z28" s="10"/>
      <c r="AA28" s="12">
        <f>SUM(X28:Z28)</f>
        <v>0</v>
      </c>
    </row>
    <row r="29" spans="3:27" x14ac:dyDescent="0.2">
      <c r="C29" s="6">
        <v>1998</v>
      </c>
      <c r="D29" s="10">
        <v>2</v>
      </c>
      <c r="E29" s="10">
        <v>34</v>
      </c>
      <c r="F29" s="10">
        <f>(25+7+282+60+27+24+24+38+8123+21+58+60+297+37+85+2+59+27+80+32+88+40)</f>
        <v>9496</v>
      </c>
      <c r="G29" s="11">
        <f t="shared" ref="G29:G53" si="18">SUM(D29:F29)</f>
        <v>9532</v>
      </c>
      <c r="H29" s="10"/>
      <c r="I29" s="10"/>
      <c r="J29" s="10">
        <v>1</v>
      </c>
      <c r="K29" s="11">
        <f t="shared" ref="K29:K53" si="19">SUM(H29:J29)</f>
        <v>1</v>
      </c>
      <c r="L29" s="10"/>
      <c r="M29" s="10">
        <v>4</v>
      </c>
      <c r="N29" s="10">
        <v>3</v>
      </c>
      <c r="O29" s="11">
        <f t="shared" ref="O29:O53" si="20">SUM(L29:N29)</f>
        <v>7</v>
      </c>
      <c r="P29" s="10"/>
      <c r="Q29" s="10">
        <f>(50+46+88+75+51+36)</f>
        <v>346</v>
      </c>
      <c r="R29" s="10">
        <f>(60+103+108+50+96+469+109+190+102+80+84+36+54+682+205+99+48+590+19+96+66+132+80+132+414+239+48+3043)</f>
        <v>7434</v>
      </c>
      <c r="S29" s="11">
        <f t="shared" ref="S29:S53" si="21">SUM(P29:R29)</f>
        <v>7780</v>
      </c>
      <c r="T29" s="10"/>
      <c r="U29" s="10">
        <v>3</v>
      </c>
      <c r="V29" s="10">
        <f>(63+2500)</f>
        <v>2563</v>
      </c>
      <c r="W29" s="11">
        <f t="shared" ref="W29:W53" si="22">SUM(T29:V29)</f>
        <v>2566</v>
      </c>
      <c r="X29" s="10"/>
      <c r="Y29" s="10"/>
      <c r="Z29" s="10"/>
      <c r="AA29" s="12">
        <f t="shared" ref="AA29:AA53" si="23">SUM(X29:Z29)</f>
        <v>0</v>
      </c>
    </row>
    <row r="30" spans="3:27" x14ac:dyDescent="0.2">
      <c r="C30" s="6">
        <v>1999</v>
      </c>
      <c r="D30" s="10"/>
      <c r="E30" s="10">
        <v>45</v>
      </c>
      <c r="F30" s="10">
        <f>(39+66+40+26+302+25+22+55+315+50+18+92+322+83+64+66+86+26+7)</f>
        <v>1704</v>
      </c>
      <c r="G30" s="11">
        <f t="shared" si="18"/>
        <v>1749</v>
      </c>
      <c r="H30" s="10"/>
      <c r="I30" s="10"/>
      <c r="J30" s="10">
        <v>24</v>
      </c>
      <c r="K30" s="11">
        <f t="shared" si="19"/>
        <v>24</v>
      </c>
      <c r="L30" s="10"/>
      <c r="M30" s="10">
        <v>2</v>
      </c>
      <c r="N30" s="10">
        <v>2</v>
      </c>
      <c r="O30" s="11">
        <f t="shared" si="20"/>
        <v>4</v>
      </c>
      <c r="P30" s="10"/>
      <c r="Q30" s="10">
        <f>(11+58+62+137+27)</f>
        <v>295</v>
      </c>
      <c r="R30" s="10">
        <f>(48+75+116+98+150+56+77+77+389+144+295+59+2976+107+47+82+53+36+59+3501+715+52+37+631+24+36+71+39+414+277+63+2641+3609+4572)</f>
        <v>21626</v>
      </c>
      <c r="S30" s="11">
        <f t="shared" si="21"/>
        <v>21921</v>
      </c>
      <c r="T30" s="10"/>
      <c r="U30" s="10">
        <v>14</v>
      </c>
      <c r="V30" s="10">
        <v>26</v>
      </c>
      <c r="W30" s="11">
        <f t="shared" si="22"/>
        <v>40</v>
      </c>
      <c r="X30" s="10"/>
      <c r="Y30" s="10"/>
      <c r="Z30" s="10"/>
      <c r="AA30" s="12">
        <f t="shared" si="23"/>
        <v>0</v>
      </c>
    </row>
    <row r="31" spans="3:27" x14ac:dyDescent="0.2">
      <c r="C31" s="6">
        <v>2000</v>
      </c>
      <c r="D31" s="10"/>
      <c r="E31" s="10">
        <v>73</v>
      </c>
      <c r="F31" s="10">
        <f>(34+19+117+20+39+100+285+8+14+56+87+34+64+66+42)</f>
        <v>985</v>
      </c>
      <c r="G31" s="11">
        <f t="shared" si="18"/>
        <v>1058</v>
      </c>
      <c r="H31" s="10"/>
      <c r="I31" s="10"/>
      <c r="J31" s="10">
        <v>1</v>
      </c>
      <c r="K31" s="11">
        <f t="shared" si="19"/>
        <v>1</v>
      </c>
      <c r="L31" s="10"/>
      <c r="M31" s="10">
        <v>2</v>
      </c>
      <c r="N31" s="10">
        <v>1</v>
      </c>
      <c r="O31" s="11">
        <f t="shared" si="20"/>
        <v>3</v>
      </c>
      <c r="P31" s="10"/>
      <c r="Q31" s="10">
        <f>(127+108+62+87+100+13)</f>
        <v>497</v>
      </c>
      <c r="R31" s="10">
        <f>(179+59+73+83+89+251+252+98+96+75+733+91+137+314+73+47+194+222+7921+107)</f>
        <v>11094</v>
      </c>
      <c r="S31" s="11">
        <f t="shared" si="21"/>
        <v>11591</v>
      </c>
      <c r="T31" s="10"/>
      <c r="U31" s="10">
        <v>10</v>
      </c>
      <c r="V31" s="10">
        <v>33</v>
      </c>
      <c r="W31" s="11">
        <f t="shared" si="22"/>
        <v>43</v>
      </c>
      <c r="X31" s="10"/>
      <c r="Y31" s="10"/>
      <c r="Z31" s="10"/>
      <c r="AA31" s="12">
        <f t="shared" si="23"/>
        <v>0</v>
      </c>
    </row>
    <row r="32" spans="3:27" x14ac:dyDescent="0.2">
      <c r="C32" s="6">
        <v>2001</v>
      </c>
      <c r="D32" s="10"/>
      <c r="E32" s="10">
        <v>56</v>
      </c>
      <c r="F32" s="10">
        <f>(30+100+90+97+132+74+142+66+38+26+92+48+80+22+18+84)</f>
        <v>1139</v>
      </c>
      <c r="G32" s="11">
        <f t="shared" si="18"/>
        <v>1195</v>
      </c>
      <c r="H32" s="10"/>
      <c r="I32" s="10"/>
      <c r="J32" s="10">
        <v>2</v>
      </c>
      <c r="K32" s="11">
        <f t="shared" si="19"/>
        <v>2</v>
      </c>
      <c r="L32" s="10">
        <v>1</v>
      </c>
      <c r="M32" s="10">
        <v>5</v>
      </c>
      <c r="N32" s="10">
        <v>1</v>
      </c>
      <c r="O32" s="11">
        <f t="shared" si="20"/>
        <v>7</v>
      </c>
      <c r="P32" s="10"/>
      <c r="Q32" s="10">
        <f>(92+126+25)</f>
        <v>243</v>
      </c>
      <c r="R32" s="10">
        <f>(101+84+48+96+67+408+342+77+78+70+70+777+35+29+1275+71+32+24+12+4199)</f>
        <v>7895</v>
      </c>
      <c r="S32" s="11">
        <f t="shared" si="21"/>
        <v>8138</v>
      </c>
      <c r="T32" s="10"/>
      <c r="U32" s="10">
        <v>11</v>
      </c>
      <c r="V32" s="10">
        <v>53</v>
      </c>
      <c r="W32" s="11">
        <f t="shared" si="22"/>
        <v>64</v>
      </c>
      <c r="X32" s="10"/>
      <c r="Y32" s="10"/>
      <c r="Z32" s="10"/>
      <c r="AA32" s="12">
        <f t="shared" si="23"/>
        <v>0</v>
      </c>
    </row>
    <row r="33" spans="3:27" x14ac:dyDescent="0.2">
      <c r="C33" s="6">
        <v>2002</v>
      </c>
      <c r="D33" s="10">
        <v>1</v>
      </c>
      <c r="E33" s="10">
        <v>81</v>
      </c>
      <c r="F33" s="10">
        <f>(19+105+42+37+94+77+88+334+119+20+102+45+20+95+183+55)</f>
        <v>1435</v>
      </c>
      <c r="G33" s="11">
        <f t="shared" si="18"/>
        <v>1517</v>
      </c>
      <c r="H33" s="10"/>
      <c r="I33" s="10"/>
      <c r="J33" s="10"/>
      <c r="K33" s="11">
        <f t="shared" si="19"/>
        <v>0</v>
      </c>
      <c r="L33" s="10"/>
      <c r="M33" s="10"/>
      <c r="N33" s="10">
        <v>12</v>
      </c>
      <c r="O33" s="11">
        <f t="shared" si="20"/>
        <v>12</v>
      </c>
      <c r="P33" s="10"/>
      <c r="Q33" s="10">
        <f>(17+100+95+17)</f>
        <v>229</v>
      </c>
      <c r="R33" s="10">
        <f>(24+45+73+191+723+1061+78+13+96+6+10475)</f>
        <v>12785</v>
      </c>
      <c r="S33" s="11">
        <f t="shared" si="21"/>
        <v>13014</v>
      </c>
      <c r="T33" s="10"/>
      <c r="U33" s="10">
        <v>13</v>
      </c>
      <c r="V33" s="10">
        <v>1</v>
      </c>
      <c r="W33" s="11">
        <f t="shared" si="22"/>
        <v>14</v>
      </c>
      <c r="X33" s="10"/>
      <c r="Y33" s="10"/>
      <c r="Z33" s="10"/>
      <c r="AA33" s="12">
        <f t="shared" si="23"/>
        <v>0</v>
      </c>
    </row>
    <row r="34" spans="3:27" x14ac:dyDescent="0.2">
      <c r="C34" s="6">
        <v>2003</v>
      </c>
      <c r="D34" s="10">
        <v>5</v>
      </c>
      <c r="E34" s="10">
        <v>108</v>
      </c>
      <c r="F34" s="10">
        <f>(40+9+70+12+24+19+176+77+186+77+353+67+85)</f>
        <v>1195</v>
      </c>
      <c r="G34" s="11">
        <f t="shared" si="18"/>
        <v>1308</v>
      </c>
      <c r="H34" s="10"/>
      <c r="I34" s="10"/>
      <c r="J34" s="10"/>
      <c r="K34" s="11">
        <f t="shared" si="19"/>
        <v>0</v>
      </c>
      <c r="L34" s="10"/>
      <c r="M34" s="10">
        <v>1</v>
      </c>
      <c r="N34" s="10"/>
      <c r="O34" s="11">
        <f t="shared" si="20"/>
        <v>1</v>
      </c>
      <c r="P34" s="10"/>
      <c r="Q34" s="10">
        <f>(72+197+51+5)</f>
        <v>325</v>
      </c>
      <c r="R34" s="10">
        <f>(64+1000+104+82+7553)</f>
        <v>8803</v>
      </c>
      <c r="S34" s="11">
        <f t="shared" si="21"/>
        <v>9128</v>
      </c>
      <c r="T34" s="10"/>
      <c r="U34" s="10">
        <v>11</v>
      </c>
      <c r="V34" s="10">
        <v>17</v>
      </c>
      <c r="W34" s="11">
        <f t="shared" si="22"/>
        <v>28</v>
      </c>
      <c r="X34" s="10"/>
      <c r="Y34" s="10"/>
      <c r="Z34" s="10"/>
      <c r="AA34" s="12">
        <f t="shared" si="23"/>
        <v>0</v>
      </c>
    </row>
    <row r="35" spans="3:27" x14ac:dyDescent="0.2">
      <c r="C35" s="6">
        <v>2004</v>
      </c>
      <c r="D35" s="10">
        <v>28</v>
      </c>
      <c r="E35" s="10">
        <f>(58+47)</f>
        <v>105</v>
      </c>
      <c r="F35" s="10">
        <f>(62+37+36+754+36+10+120+75+86+200+66+104+89+52+52)</f>
        <v>1779</v>
      </c>
      <c r="G35" s="11">
        <f t="shared" si="18"/>
        <v>1912</v>
      </c>
      <c r="H35" s="10">
        <v>1</v>
      </c>
      <c r="I35" s="10"/>
      <c r="J35" s="10">
        <v>2</v>
      </c>
      <c r="K35" s="11">
        <f t="shared" si="19"/>
        <v>3</v>
      </c>
      <c r="L35" s="10"/>
      <c r="M35" s="10"/>
      <c r="N35" s="10">
        <v>70</v>
      </c>
      <c r="O35" s="11">
        <f t="shared" si="20"/>
        <v>70</v>
      </c>
      <c r="P35" s="10"/>
      <c r="Q35" s="10">
        <f>(61+86+95+50+23)</f>
        <v>315</v>
      </c>
      <c r="R35" s="10">
        <f>(39+89+87+89+48+93+165+112+25+687+19+24+3119)</f>
        <v>4596</v>
      </c>
      <c r="S35" s="11">
        <f t="shared" si="21"/>
        <v>4911</v>
      </c>
      <c r="T35" s="10"/>
      <c r="U35" s="10">
        <v>5</v>
      </c>
      <c r="V35" s="10"/>
      <c r="W35" s="11">
        <f t="shared" si="22"/>
        <v>5</v>
      </c>
      <c r="X35" s="10"/>
      <c r="Y35" s="10"/>
      <c r="Z35" s="10"/>
      <c r="AA35" s="12">
        <f t="shared" si="23"/>
        <v>0</v>
      </c>
    </row>
    <row r="36" spans="3:27" x14ac:dyDescent="0.2">
      <c r="C36" s="6">
        <v>2005</v>
      </c>
      <c r="D36" s="10">
        <v>92</v>
      </c>
      <c r="E36" s="10">
        <f>(48+13+55)</f>
        <v>116</v>
      </c>
      <c r="F36" s="10">
        <f>(74+38+24+111+9+11+177+94+213+28)</f>
        <v>779</v>
      </c>
      <c r="G36" s="11">
        <f t="shared" si="18"/>
        <v>987</v>
      </c>
      <c r="H36" s="10"/>
      <c r="I36" s="10"/>
      <c r="J36" s="10"/>
      <c r="K36" s="11">
        <f t="shared" si="19"/>
        <v>0</v>
      </c>
      <c r="L36" s="10"/>
      <c r="M36" s="10">
        <v>1</v>
      </c>
      <c r="N36" s="10">
        <v>14</v>
      </c>
      <c r="O36" s="11">
        <f t="shared" si="20"/>
        <v>15</v>
      </c>
      <c r="P36" s="10"/>
      <c r="Q36" s="10">
        <f>(107+99+41+95+97+202)</f>
        <v>641</v>
      </c>
      <c r="R36" s="10">
        <f>(61+97+15+72+149+7+182+8222+85+2800+3008)</f>
        <v>14698</v>
      </c>
      <c r="S36" s="11">
        <f t="shared" si="21"/>
        <v>15339</v>
      </c>
      <c r="T36" s="10"/>
      <c r="U36" s="10">
        <v>10</v>
      </c>
      <c r="V36" s="10">
        <v>6</v>
      </c>
      <c r="W36" s="11">
        <f t="shared" si="22"/>
        <v>16</v>
      </c>
      <c r="X36" s="10"/>
      <c r="Y36" s="10"/>
      <c r="Z36" s="10"/>
      <c r="AA36" s="12">
        <f t="shared" si="23"/>
        <v>0</v>
      </c>
    </row>
    <row r="37" spans="3:27" x14ac:dyDescent="0.2">
      <c r="C37" s="6">
        <v>2006</v>
      </c>
      <c r="D37" s="10">
        <v>37</v>
      </c>
      <c r="E37" s="10">
        <f>(82+15+67+54)</f>
        <v>218</v>
      </c>
      <c r="F37" s="10">
        <f>(29+66+134+44+76+36+98+116+73+117+91+88+234+178+179+29)</f>
        <v>1588</v>
      </c>
      <c r="G37" s="11">
        <f t="shared" si="18"/>
        <v>1843</v>
      </c>
      <c r="H37" s="10"/>
      <c r="I37" s="10"/>
      <c r="J37" s="10"/>
      <c r="K37" s="11">
        <f t="shared" si="19"/>
        <v>0</v>
      </c>
      <c r="L37" s="10"/>
      <c r="M37" s="10"/>
      <c r="N37" s="10">
        <v>35</v>
      </c>
      <c r="O37" s="11">
        <f t="shared" si="20"/>
        <v>35</v>
      </c>
      <c r="P37" s="10"/>
      <c r="Q37" s="10">
        <f>(18+93+59+116+96+45+1)</f>
        <v>428</v>
      </c>
      <c r="R37" s="10">
        <f>(37+82+205+159+116+19+143+176+2+2708)</f>
        <v>3647</v>
      </c>
      <c r="S37" s="11">
        <f t="shared" si="21"/>
        <v>4075</v>
      </c>
      <c r="T37" s="10"/>
      <c r="U37" s="10">
        <v>8</v>
      </c>
      <c r="V37" s="10">
        <v>48</v>
      </c>
      <c r="W37" s="11">
        <f t="shared" si="22"/>
        <v>56</v>
      </c>
      <c r="X37" s="10"/>
      <c r="Y37" s="10"/>
      <c r="Z37" s="10"/>
      <c r="AA37" s="12">
        <f t="shared" si="23"/>
        <v>0</v>
      </c>
    </row>
    <row r="38" spans="3:27" x14ac:dyDescent="0.2">
      <c r="C38" s="6">
        <v>2007</v>
      </c>
      <c r="D38" s="10"/>
      <c r="E38" s="10">
        <f>(54+36+42)</f>
        <v>132</v>
      </c>
      <c r="F38" s="10">
        <f>(38+93+19+138+32+178+119+103+29+25)</f>
        <v>774</v>
      </c>
      <c r="G38" s="11">
        <f t="shared" si="18"/>
        <v>906</v>
      </c>
      <c r="H38" s="10"/>
      <c r="I38" s="10"/>
      <c r="J38" s="10"/>
      <c r="K38" s="11">
        <f t="shared" si="19"/>
        <v>0</v>
      </c>
      <c r="L38" s="10"/>
      <c r="M38" s="10">
        <v>4</v>
      </c>
      <c r="N38" s="10">
        <v>15</v>
      </c>
      <c r="O38" s="11">
        <f t="shared" si="20"/>
        <v>19</v>
      </c>
      <c r="P38" s="10"/>
      <c r="Q38" s="10">
        <f>(104+39+85+66+35)</f>
        <v>329</v>
      </c>
      <c r="R38" s="10">
        <f>(60+65+25+97+142+80+2045)</f>
        <v>2514</v>
      </c>
      <c r="S38" s="11">
        <f t="shared" si="21"/>
        <v>2843</v>
      </c>
      <c r="T38" s="10"/>
      <c r="U38" s="10">
        <v>20</v>
      </c>
      <c r="V38" s="10">
        <v>37</v>
      </c>
      <c r="W38" s="11">
        <f t="shared" si="22"/>
        <v>57</v>
      </c>
      <c r="X38" s="10"/>
      <c r="Y38" s="10"/>
      <c r="Z38" s="10"/>
      <c r="AA38" s="12">
        <f t="shared" si="23"/>
        <v>0</v>
      </c>
    </row>
    <row r="39" spans="3:27" x14ac:dyDescent="0.2">
      <c r="C39" s="6">
        <v>2008</v>
      </c>
      <c r="D39" s="10">
        <v>79</v>
      </c>
      <c r="E39" s="10">
        <f>(17+35+52+54)</f>
        <v>158</v>
      </c>
      <c r="F39" s="10">
        <f>(31+31+4+76+48+103+102+183+34+91)</f>
        <v>703</v>
      </c>
      <c r="G39" s="11">
        <f t="shared" si="18"/>
        <v>940</v>
      </c>
      <c r="H39" s="10">
        <v>2</v>
      </c>
      <c r="I39" s="10"/>
      <c r="J39" s="10"/>
      <c r="K39" s="11">
        <f t="shared" si="19"/>
        <v>2</v>
      </c>
      <c r="L39" s="10"/>
      <c r="M39" s="10">
        <v>1</v>
      </c>
      <c r="N39" s="10">
        <v>23</v>
      </c>
      <c r="O39" s="11">
        <f t="shared" si="20"/>
        <v>24</v>
      </c>
      <c r="P39" s="10"/>
      <c r="Q39" s="10">
        <f>(25+67+52+31+93+4+89+39)</f>
        <v>400</v>
      </c>
      <c r="R39" s="10">
        <f>(34+59+63+12+177+39+53+137+11+2603)</f>
        <v>3188</v>
      </c>
      <c r="S39" s="11">
        <f t="shared" si="21"/>
        <v>3588</v>
      </c>
      <c r="T39" s="10"/>
      <c r="U39" s="10">
        <v>4</v>
      </c>
      <c r="V39" s="10">
        <v>67</v>
      </c>
      <c r="W39" s="11">
        <f t="shared" si="22"/>
        <v>71</v>
      </c>
      <c r="X39" s="10"/>
      <c r="Y39" s="10"/>
      <c r="Z39" s="10"/>
      <c r="AA39" s="12">
        <f t="shared" si="23"/>
        <v>0</v>
      </c>
    </row>
    <row r="40" spans="3:27" x14ac:dyDescent="0.2">
      <c r="C40" s="6">
        <v>2009</v>
      </c>
      <c r="D40" s="10">
        <v>41</v>
      </c>
      <c r="E40" s="10">
        <f>(15+45+15+16+36+69)</f>
        <v>196</v>
      </c>
      <c r="F40" s="10">
        <f>(63+67+89+106+83+125+109+66+91+133)</f>
        <v>932</v>
      </c>
      <c r="G40" s="11">
        <f t="shared" si="18"/>
        <v>1169</v>
      </c>
      <c r="H40" s="10">
        <v>2</v>
      </c>
      <c r="I40" s="10"/>
      <c r="J40" s="10"/>
      <c r="K40" s="11">
        <f t="shared" si="19"/>
        <v>2</v>
      </c>
      <c r="L40" s="10"/>
      <c r="M40" s="10"/>
      <c r="N40" s="10">
        <v>1</v>
      </c>
      <c r="O40" s="11">
        <f t="shared" si="20"/>
        <v>1</v>
      </c>
      <c r="P40" s="10"/>
      <c r="Q40" s="10">
        <f>(12+17+127+43+55+48+81+83)</f>
        <v>466</v>
      </c>
      <c r="R40" s="10">
        <f>(48+78+37+60+52+63+159+104+360+80+37+95+336+68+80+107+39+1067+366+28+229+29+48+60+2065)</f>
        <v>5695</v>
      </c>
      <c r="S40" s="11">
        <f t="shared" si="21"/>
        <v>6161</v>
      </c>
      <c r="T40" s="10"/>
      <c r="U40" s="10">
        <v>14</v>
      </c>
      <c r="V40" s="10">
        <v>108</v>
      </c>
      <c r="W40" s="11">
        <f t="shared" si="22"/>
        <v>122</v>
      </c>
      <c r="X40" s="10"/>
      <c r="Y40" s="10"/>
      <c r="Z40" s="10"/>
      <c r="AA40" s="12">
        <f t="shared" si="23"/>
        <v>0</v>
      </c>
    </row>
    <row r="41" spans="3:27" x14ac:dyDescent="0.2">
      <c r="C41" s="6">
        <v>2010</v>
      </c>
      <c r="D41" s="10">
        <v>24</v>
      </c>
      <c r="E41" s="10">
        <f>(30+51+14+26+18+39+28)</f>
        <v>206</v>
      </c>
      <c r="F41" s="10">
        <f>(25+79+70+113+68+49+25+53+89+78+86+81+53+768+12+293+98+159+38)</f>
        <v>2237</v>
      </c>
      <c r="G41" s="11">
        <f t="shared" si="18"/>
        <v>2467</v>
      </c>
      <c r="H41" s="10"/>
      <c r="I41" s="10"/>
      <c r="J41" s="10"/>
      <c r="K41" s="11">
        <f t="shared" si="19"/>
        <v>0</v>
      </c>
      <c r="L41" s="10"/>
      <c r="M41" s="10">
        <v>45</v>
      </c>
      <c r="N41" s="10">
        <v>25</v>
      </c>
      <c r="O41" s="11">
        <f t="shared" si="20"/>
        <v>70</v>
      </c>
      <c r="P41" s="10"/>
      <c r="Q41" s="10">
        <f>(49+42+27+63+66+128+17+1)</f>
        <v>393</v>
      </c>
      <c r="R41" s="10">
        <f>(34+71+61+70+79+73+48+163+26+7+17+294+72+25+36+72+35+38+62+63+48+35+234+9+386+24+195+99+681+60+887+270+315+3309)</f>
        <v>7898</v>
      </c>
      <c r="S41" s="11">
        <f t="shared" si="21"/>
        <v>8291</v>
      </c>
      <c r="T41" s="10"/>
      <c r="U41" s="10">
        <v>4</v>
      </c>
      <c r="V41" s="10">
        <v>69</v>
      </c>
      <c r="W41" s="11">
        <f t="shared" si="22"/>
        <v>73</v>
      </c>
      <c r="X41" s="10"/>
      <c r="Y41" s="10"/>
      <c r="Z41" s="10"/>
      <c r="AA41" s="12">
        <f t="shared" si="23"/>
        <v>0</v>
      </c>
    </row>
    <row r="42" spans="3:27" x14ac:dyDescent="0.2">
      <c r="C42" s="6">
        <v>2011</v>
      </c>
      <c r="D42" s="10">
        <v>23</v>
      </c>
      <c r="E42" s="10">
        <f>(30+40+9+18+25+19+37+48+3)</f>
        <v>229</v>
      </c>
      <c r="F42" s="10">
        <f>(37+166+121+97+113+139+100+96+143+41+583+100+1168+100+32+109+68+21+23+143+86+281+428+142)</f>
        <v>4337</v>
      </c>
      <c r="G42" s="11">
        <f t="shared" si="18"/>
        <v>4589</v>
      </c>
      <c r="H42" s="10"/>
      <c r="I42" s="10"/>
      <c r="J42" s="10"/>
      <c r="K42" s="11">
        <f t="shared" si="19"/>
        <v>0</v>
      </c>
      <c r="L42" s="10">
        <v>18</v>
      </c>
      <c r="M42" s="10">
        <v>1</v>
      </c>
      <c r="N42" s="10">
        <v>1</v>
      </c>
      <c r="O42" s="11">
        <f t="shared" si="20"/>
        <v>20</v>
      </c>
      <c r="P42" s="10"/>
      <c r="Q42" s="10">
        <f>(36+194+61+49+71+43+10+72+3)</f>
        <v>539</v>
      </c>
      <c r="R42" s="10">
        <f>(83+72+34+168+91+62+39+157+24+177+95+172+77+49+75+74+18+179+65+12+191+138+156+862+741+100+2566)</f>
        <v>6477</v>
      </c>
      <c r="S42" s="11">
        <f t="shared" si="21"/>
        <v>7016</v>
      </c>
      <c r="T42" s="10"/>
      <c r="U42" s="10">
        <v>4</v>
      </c>
      <c r="V42" s="10">
        <v>28</v>
      </c>
      <c r="W42" s="11">
        <f t="shared" si="22"/>
        <v>32</v>
      </c>
      <c r="X42" s="10"/>
      <c r="Y42" s="10"/>
      <c r="Z42" s="10"/>
      <c r="AA42" s="12">
        <f t="shared" si="23"/>
        <v>0</v>
      </c>
    </row>
    <row r="43" spans="3:27" x14ac:dyDescent="0.2">
      <c r="C43" s="6">
        <v>2012</v>
      </c>
      <c r="D43" s="10">
        <v>16</v>
      </c>
      <c r="E43" s="10">
        <f>(13+17+12+24+20+70)</f>
        <v>156</v>
      </c>
      <c r="F43" s="10">
        <f>(24+88+96+55+97+105+107+236+173+110+81+55+98+254+278+78+137+176+27)</f>
        <v>2275</v>
      </c>
      <c r="G43" s="11">
        <f t="shared" si="18"/>
        <v>2447</v>
      </c>
      <c r="H43" s="10"/>
      <c r="I43" s="10"/>
      <c r="J43" s="10"/>
      <c r="K43" s="11">
        <f t="shared" si="19"/>
        <v>0</v>
      </c>
      <c r="L43" s="10">
        <v>1</v>
      </c>
      <c r="M43" s="10">
        <v>3</v>
      </c>
      <c r="N43" s="10">
        <v>23</v>
      </c>
      <c r="O43" s="11">
        <f t="shared" si="20"/>
        <v>27</v>
      </c>
      <c r="P43" s="10"/>
      <c r="Q43" s="10">
        <f>(53+43+53+169+10+16)</f>
        <v>344</v>
      </c>
      <c r="R43" s="10">
        <f>(47+70+94+77+102+77+79+68+94+87+84+88+404+71+149+47+368+190+1186)</f>
        <v>3382</v>
      </c>
      <c r="S43" s="11">
        <f t="shared" si="21"/>
        <v>3726</v>
      </c>
      <c r="T43" s="10"/>
      <c r="U43" s="10">
        <v>1</v>
      </c>
      <c r="V43" s="10">
        <v>37</v>
      </c>
      <c r="W43" s="11">
        <f t="shared" si="22"/>
        <v>38</v>
      </c>
      <c r="X43" s="10"/>
      <c r="Y43" s="10"/>
      <c r="Z43" s="10"/>
      <c r="AA43" s="12">
        <f t="shared" si="23"/>
        <v>0</v>
      </c>
    </row>
    <row r="44" spans="3:27" x14ac:dyDescent="0.2">
      <c r="C44" s="6">
        <v>2013</v>
      </c>
      <c r="D44" s="10">
        <v>10</v>
      </c>
      <c r="E44" s="10">
        <f>(22+51+23+41+99)</f>
        <v>236</v>
      </c>
      <c r="F44" s="10">
        <f>(67+104+107+72+856+177+79+53+75+86+560+112+93)</f>
        <v>2441</v>
      </c>
      <c r="G44" s="11">
        <f t="shared" si="18"/>
        <v>2687</v>
      </c>
      <c r="H44" s="10"/>
      <c r="I44" s="10"/>
      <c r="J44" s="10"/>
      <c r="K44" s="11">
        <f t="shared" si="19"/>
        <v>0</v>
      </c>
      <c r="L44" s="10"/>
      <c r="M44" s="10">
        <v>4</v>
      </c>
      <c r="N44" s="10">
        <v>1</v>
      </c>
      <c r="O44" s="11">
        <f t="shared" si="20"/>
        <v>5</v>
      </c>
      <c r="P44" s="10"/>
      <c r="Q44" s="10">
        <f>(30+34+92+21)</f>
        <v>177</v>
      </c>
      <c r="R44" s="10">
        <f>(36+1315+80+107+30+71+117+48+539+1076+94+105+107+24+34+817)</f>
        <v>4600</v>
      </c>
      <c r="S44" s="11">
        <f t="shared" si="21"/>
        <v>4777</v>
      </c>
      <c r="T44" s="10"/>
      <c r="U44" s="10"/>
      <c r="V44" s="10">
        <v>47</v>
      </c>
      <c r="W44" s="11">
        <f t="shared" si="22"/>
        <v>47</v>
      </c>
      <c r="X44" s="10"/>
      <c r="Y44" s="10"/>
      <c r="Z44" s="10"/>
      <c r="AA44" s="12">
        <f t="shared" si="23"/>
        <v>0</v>
      </c>
    </row>
    <row r="45" spans="3:27" x14ac:dyDescent="0.2">
      <c r="C45" s="6">
        <v>2014</v>
      </c>
      <c r="D45" s="10">
        <v>25</v>
      </c>
      <c r="E45" s="10">
        <f>(8+59+99+110+47+87+116+39+4)</f>
        <v>569</v>
      </c>
      <c r="F45" s="10">
        <f>(60+114+43+94+98+89+97+250+100+89+88+125+181+181+9+109+346+96+202+46-32)</f>
        <v>2385</v>
      </c>
      <c r="G45" s="11">
        <f t="shared" si="18"/>
        <v>2979</v>
      </c>
      <c r="H45" s="10"/>
      <c r="I45" s="10"/>
      <c r="J45" s="10"/>
      <c r="K45" s="11">
        <f t="shared" si="19"/>
        <v>0</v>
      </c>
      <c r="L45" s="10"/>
      <c r="M45" s="10">
        <v>2</v>
      </c>
      <c r="N45" s="10">
        <v>2</v>
      </c>
      <c r="O45" s="11">
        <f t="shared" si="20"/>
        <v>4</v>
      </c>
      <c r="P45" s="10"/>
      <c r="Q45" s="10">
        <f>(45+77+33)</f>
        <v>155</v>
      </c>
      <c r="R45" s="10">
        <f>(81+67+61+48+48+126+136+40+494+71)</f>
        <v>1172</v>
      </c>
      <c r="S45" s="11">
        <f t="shared" si="21"/>
        <v>1327</v>
      </c>
      <c r="T45" s="10"/>
      <c r="U45" s="10"/>
      <c r="V45" s="10">
        <v>41</v>
      </c>
      <c r="W45" s="11">
        <f t="shared" si="22"/>
        <v>41</v>
      </c>
      <c r="X45" s="10"/>
      <c r="Y45" s="10"/>
      <c r="Z45" s="10"/>
      <c r="AA45" s="12">
        <f t="shared" si="23"/>
        <v>0</v>
      </c>
    </row>
    <row r="46" spans="3:27" x14ac:dyDescent="0.2">
      <c r="C46" s="6">
        <v>2015</v>
      </c>
      <c r="D46" s="10">
        <v>11</v>
      </c>
      <c r="E46" s="10">
        <f>(49+36+36+96)</f>
        <v>217</v>
      </c>
      <c r="F46" s="10">
        <f>(32+60+57+236+29+76+76+104+31)</f>
        <v>701</v>
      </c>
      <c r="G46" s="11">
        <f t="shared" si="18"/>
        <v>929</v>
      </c>
      <c r="H46" s="10"/>
      <c r="I46" s="10"/>
      <c r="J46" s="10"/>
      <c r="K46" s="11">
        <f t="shared" si="19"/>
        <v>0</v>
      </c>
      <c r="L46" s="10"/>
      <c r="M46" s="10">
        <v>7</v>
      </c>
      <c r="N46" s="10"/>
      <c r="O46" s="11">
        <f t="shared" si="20"/>
        <v>7</v>
      </c>
      <c r="P46" s="10"/>
      <c r="Q46" s="10">
        <f>(28+86+10)</f>
        <v>124</v>
      </c>
      <c r="R46" s="10">
        <f>(90+87+56+81+57+49+85+38+37+18+1858)</f>
        <v>2456</v>
      </c>
      <c r="S46" s="11">
        <f t="shared" si="21"/>
        <v>2580</v>
      </c>
      <c r="T46" s="10"/>
      <c r="U46" s="10">
        <v>2</v>
      </c>
      <c r="V46" s="10"/>
      <c r="W46" s="11">
        <f t="shared" si="22"/>
        <v>2</v>
      </c>
      <c r="X46" s="10"/>
      <c r="Y46" s="10"/>
      <c r="Z46" s="10"/>
      <c r="AA46" s="12">
        <f t="shared" si="23"/>
        <v>0</v>
      </c>
    </row>
    <row r="47" spans="3:27" x14ac:dyDescent="0.2">
      <c r="C47" s="6">
        <v>2016</v>
      </c>
      <c r="D47" s="10">
        <v>23</v>
      </c>
      <c r="E47" s="10">
        <f>(27+49+38+21+18+98)</f>
        <v>251</v>
      </c>
      <c r="F47" s="10">
        <f>(42+116+36+426+110+55+75+82+123+380+97+311+3)</f>
        <v>1856</v>
      </c>
      <c r="G47" s="11">
        <f t="shared" si="18"/>
        <v>2130</v>
      </c>
      <c r="H47" s="10"/>
      <c r="I47" s="10"/>
      <c r="J47" s="10"/>
      <c r="K47" s="11">
        <f t="shared" si="19"/>
        <v>0</v>
      </c>
      <c r="L47" s="10"/>
      <c r="M47" s="10">
        <v>1</v>
      </c>
      <c r="N47" s="10"/>
      <c r="O47" s="11">
        <f t="shared" si="20"/>
        <v>1</v>
      </c>
      <c r="P47" s="10"/>
      <c r="Q47" s="10">
        <f>(73+81+203+63)</f>
        <v>420</v>
      </c>
      <c r="R47" s="10">
        <f>(548+36+95+76+61+43+59+4+96+12+1133)</f>
        <v>2163</v>
      </c>
      <c r="S47" s="11">
        <f t="shared" si="21"/>
        <v>2583</v>
      </c>
      <c r="T47" s="10"/>
      <c r="U47" s="10">
        <v>7</v>
      </c>
      <c r="V47" s="10"/>
      <c r="W47" s="11">
        <f t="shared" si="22"/>
        <v>7</v>
      </c>
      <c r="X47" s="10"/>
      <c r="Y47" s="10"/>
      <c r="Z47" s="10"/>
      <c r="AA47" s="12">
        <f t="shared" si="23"/>
        <v>0</v>
      </c>
    </row>
    <row r="48" spans="3:27" x14ac:dyDescent="0.2">
      <c r="C48" s="6">
        <v>2017</v>
      </c>
      <c r="D48" s="10">
        <v>5</v>
      </c>
      <c r="E48" s="10">
        <f>(15+86+53+33+124)</f>
        <v>311</v>
      </c>
      <c r="F48" s="10">
        <f>(73+99+92+89+51+36)</f>
        <v>440</v>
      </c>
      <c r="G48" s="11">
        <f t="shared" si="18"/>
        <v>756</v>
      </c>
      <c r="H48" s="10"/>
      <c r="I48" s="10"/>
      <c r="J48" s="10"/>
      <c r="K48" s="11">
        <f t="shared" si="19"/>
        <v>0</v>
      </c>
      <c r="L48" s="10"/>
      <c r="M48" s="10">
        <v>4</v>
      </c>
      <c r="N48" s="10">
        <v>152</v>
      </c>
      <c r="O48" s="11">
        <f t="shared" si="20"/>
        <v>156</v>
      </c>
      <c r="P48" s="10"/>
      <c r="Q48" s="10">
        <f>(41+88+43)</f>
        <v>172</v>
      </c>
      <c r="R48" s="10">
        <f>(59+40+78+114+108+59+84+6+400)</f>
        <v>948</v>
      </c>
      <c r="S48" s="11">
        <f t="shared" si="21"/>
        <v>1120</v>
      </c>
      <c r="T48" s="10"/>
      <c r="U48" s="10">
        <v>6</v>
      </c>
      <c r="V48" s="10"/>
      <c r="W48" s="11">
        <f t="shared" si="22"/>
        <v>6</v>
      </c>
      <c r="X48" s="10"/>
      <c r="Y48" s="10"/>
      <c r="Z48" s="10"/>
      <c r="AA48" s="12">
        <f t="shared" si="23"/>
        <v>0</v>
      </c>
    </row>
    <row r="49" spans="3:27" x14ac:dyDescent="0.2">
      <c r="C49" s="6">
        <v>2018</v>
      </c>
      <c r="D49" s="10">
        <v>6</v>
      </c>
      <c r="E49" s="10">
        <f>(29+49+106)</f>
        <v>184</v>
      </c>
      <c r="F49" s="10">
        <f>(12+68+115)</f>
        <v>195</v>
      </c>
      <c r="G49" s="11">
        <f t="shared" si="18"/>
        <v>385</v>
      </c>
      <c r="H49" s="10"/>
      <c r="I49" s="10"/>
      <c r="J49" s="10">
        <v>4</v>
      </c>
      <c r="K49" s="11">
        <f t="shared" si="19"/>
        <v>4</v>
      </c>
      <c r="L49" s="10"/>
      <c r="M49" s="10">
        <v>6</v>
      </c>
      <c r="N49" s="10">
        <v>24</v>
      </c>
      <c r="O49" s="11">
        <f t="shared" si="20"/>
        <v>30</v>
      </c>
      <c r="P49" s="10"/>
      <c r="Q49" s="10">
        <f>(22+163+64+63)</f>
        <v>312</v>
      </c>
      <c r="R49" s="10">
        <f>(48+115+36+85+81+84+130+35+42+1190)</f>
        <v>1846</v>
      </c>
      <c r="S49" s="11">
        <f t="shared" si="21"/>
        <v>2158</v>
      </c>
      <c r="T49" s="10"/>
      <c r="U49" s="10">
        <v>1</v>
      </c>
      <c r="V49" s="10">
        <v>24</v>
      </c>
      <c r="W49" s="11">
        <f t="shared" si="22"/>
        <v>25</v>
      </c>
      <c r="X49" s="10"/>
      <c r="Y49" s="10"/>
      <c r="Z49" s="10"/>
      <c r="AA49" s="12">
        <f t="shared" si="23"/>
        <v>0</v>
      </c>
    </row>
    <row r="50" spans="3:27" x14ac:dyDescent="0.2">
      <c r="C50" s="6">
        <v>2019</v>
      </c>
      <c r="D50" s="10" t="s">
        <v>73</v>
      </c>
      <c r="E50" s="10">
        <f>(46+83+94+248+2)</f>
        <v>473</v>
      </c>
      <c r="F50" s="10">
        <f>(11+14+66+47)</f>
        <v>138</v>
      </c>
      <c r="G50" s="11">
        <f t="shared" si="18"/>
        <v>611</v>
      </c>
      <c r="H50" s="10"/>
      <c r="I50" s="10">
        <v>4</v>
      </c>
      <c r="J50" s="10"/>
      <c r="K50" s="11">
        <f t="shared" si="19"/>
        <v>4</v>
      </c>
      <c r="L50" s="10"/>
      <c r="M50" s="10">
        <v>8</v>
      </c>
      <c r="N50" s="10"/>
      <c r="O50" s="11">
        <f t="shared" si="20"/>
        <v>8</v>
      </c>
      <c r="P50" s="10"/>
      <c r="Q50" s="10">
        <f>(51+72+52+31)</f>
        <v>206</v>
      </c>
      <c r="R50" s="10">
        <f>(88+58+49+83+61+156+17+72+31+67)</f>
        <v>682</v>
      </c>
      <c r="S50" s="11">
        <f t="shared" si="21"/>
        <v>888</v>
      </c>
      <c r="T50" s="10"/>
      <c r="U50" s="10">
        <v>2</v>
      </c>
      <c r="V50" s="10"/>
      <c r="W50" s="11">
        <f t="shared" si="22"/>
        <v>2</v>
      </c>
      <c r="X50" s="10"/>
      <c r="Y50" s="10"/>
      <c r="Z50" s="10"/>
      <c r="AA50" s="12">
        <f t="shared" si="23"/>
        <v>0</v>
      </c>
    </row>
    <row r="51" spans="3:27" x14ac:dyDescent="0.2">
      <c r="C51" s="6">
        <v>2020</v>
      </c>
      <c r="D51" s="10">
        <v>30</v>
      </c>
      <c r="E51" s="10">
        <f>(73+11+93+8)</f>
        <v>185</v>
      </c>
      <c r="F51" s="10">
        <f>(41+157+82+16)</f>
        <v>296</v>
      </c>
      <c r="G51" s="11">
        <f t="shared" si="18"/>
        <v>511</v>
      </c>
      <c r="H51" s="10"/>
      <c r="I51" s="10"/>
      <c r="J51" s="10"/>
      <c r="K51" s="11">
        <f t="shared" si="19"/>
        <v>0</v>
      </c>
      <c r="L51" s="10"/>
      <c r="M51" s="10">
        <v>6</v>
      </c>
      <c r="N51" s="10"/>
      <c r="O51" s="11">
        <f t="shared" si="20"/>
        <v>6</v>
      </c>
      <c r="P51" s="10"/>
      <c r="Q51" s="10">
        <f>(23+33+97)</f>
        <v>153</v>
      </c>
      <c r="R51" s="10">
        <f>(24+48+50+18+24+48+76+24+37+40+95+28+167)</f>
        <v>679</v>
      </c>
      <c r="S51" s="11">
        <f t="shared" si="21"/>
        <v>832</v>
      </c>
      <c r="T51" s="10"/>
      <c r="U51" s="10">
        <v>1</v>
      </c>
      <c r="V51" s="10">
        <v>16</v>
      </c>
      <c r="W51" s="11">
        <f t="shared" si="22"/>
        <v>17</v>
      </c>
      <c r="X51" s="10"/>
      <c r="Y51" s="10"/>
      <c r="Z51" s="10"/>
      <c r="AA51" s="12">
        <f t="shared" si="23"/>
        <v>0</v>
      </c>
    </row>
    <row r="52" spans="3:27" x14ac:dyDescent="0.2">
      <c r="C52" s="6">
        <v>2021</v>
      </c>
      <c r="D52" s="10">
        <v>0</v>
      </c>
      <c r="E52" s="10">
        <v>48</v>
      </c>
      <c r="F52" s="10">
        <v>34</v>
      </c>
      <c r="G52" s="11">
        <f t="shared" si="18"/>
        <v>82</v>
      </c>
      <c r="H52" s="10"/>
      <c r="I52" s="10"/>
      <c r="J52" s="10"/>
      <c r="K52" s="11">
        <f t="shared" si="19"/>
        <v>0</v>
      </c>
      <c r="L52" s="10"/>
      <c r="M52" s="10">
        <v>2</v>
      </c>
      <c r="N52" s="10">
        <v>1</v>
      </c>
      <c r="O52" s="11">
        <f t="shared" si="20"/>
        <v>3</v>
      </c>
      <c r="P52" s="10"/>
      <c r="Q52" s="10">
        <f>(28)</f>
        <v>28</v>
      </c>
      <c r="R52" s="10">
        <f>(71+25)</f>
        <v>96</v>
      </c>
      <c r="S52" s="11">
        <f t="shared" si="21"/>
        <v>124</v>
      </c>
      <c r="T52" s="10"/>
      <c r="U52" s="10"/>
      <c r="V52" s="10"/>
      <c r="W52" s="11">
        <f t="shared" si="22"/>
        <v>0</v>
      </c>
      <c r="X52" s="10"/>
      <c r="Y52" s="10"/>
      <c r="Z52" s="10"/>
      <c r="AA52" s="12">
        <f t="shared" si="23"/>
        <v>0</v>
      </c>
    </row>
    <row r="53" spans="3:27" x14ac:dyDescent="0.2">
      <c r="C53" s="6">
        <v>2022</v>
      </c>
      <c r="D53" s="10"/>
      <c r="E53" s="10"/>
      <c r="F53" s="10"/>
      <c r="G53" s="11">
        <f t="shared" si="18"/>
        <v>0</v>
      </c>
      <c r="H53" s="10"/>
      <c r="I53" s="10"/>
      <c r="J53" s="10"/>
      <c r="K53" s="11">
        <f t="shared" si="19"/>
        <v>0</v>
      </c>
      <c r="L53" s="10"/>
      <c r="M53" s="10"/>
      <c r="N53" s="10"/>
      <c r="O53" s="11">
        <f t="shared" si="20"/>
        <v>0</v>
      </c>
      <c r="P53" s="10"/>
      <c r="Q53" s="10"/>
      <c r="R53" s="10"/>
      <c r="S53" s="11">
        <f t="shared" si="21"/>
        <v>0</v>
      </c>
      <c r="T53" s="10"/>
      <c r="U53" s="10"/>
      <c r="V53" s="10"/>
      <c r="W53" s="11">
        <f t="shared" si="22"/>
        <v>0</v>
      </c>
      <c r="X53" s="10"/>
      <c r="Y53" s="10"/>
      <c r="Z53" s="10"/>
      <c r="AA53" s="12">
        <f t="shared" si="23"/>
        <v>0</v>
      </c>
    </row>
    <row r="54" spans="3:27" s="1" customFormat="1" ht="16" thickBot="1" x14ac:dyDescent="0.25">
      <c r="C54" s="32"/>
      <c r="D54" s="33"/>
      <c r="E54" s="34"/>
      <c r="F54" s="35"/>
      <c r="G54" s="31"/>
      <c r="H54" s="33"/>
      <c r="I54" s="33"/>
      <c r="J54" s="33"/>
      <c r="K54" s="14"/>
      <c r="L54" s="33"/>
      <c r="M54" s="33"/>
      <c r="N54" s="33"/>
      <c r="O54" s="14"/>
      <c r="P54" s="33"/>
      <c r="Q54" s="33"/>
      <c r="R54" s="33"/>
      <c r="S54" s="14"/>
      <c r="T54" s="33"/>
      <c r="U54" s="33"/>
      <c r="V54" s="33"/>
      <c r="W54" s="14"/>
      <c r="X54" s="33"/>
      <c r="Y54" s="33"/>
      <c r="Z54" s="33"/>
      <c r="AA54" s="15"/>
    </row>
    <row r="55" spans="3:27" x14ac:dyDescent="0.2">
      <c r="E55" t="s">
        <v>22</v>
      </c>
      <c r="I55" t="s">
        <v>26</v>
      </c>
      <c r="M55" t="s">
        <v>33</v>
      </c>
      <c r="Q55" t="s">
        <v>47</v>
      </c>
      <c r="U55" t="s">
        <v>59</v>
      </c>
      <c r="Y55" t="s">
        <v>67</v>
      </c>
    </row>
    <row r="56" spans="3:27" ht="16" thickBot="1" x14ac:dyDescent="0.25">
      <c r="C56" s="36" t="s">
        <v>23</v>
      </c>
      <c r="D56" s="36"/>
      <c r="E56" s="37" t="s">
        <v>24</v>
      </c>
      <c r="I56" t="s">
        <v>27</v>
      </c>
      <c r="M56" t="s">
        <v>33</v>
      </c>
      <c r="Q56" t="s">
        <v>48</v>
      </c>
      <c r="U56" t="s">
        <v>60</v>
      </c>
      <c r="Y56" t="s">
        <v>68</v>
      </c>
    </row>
    <row r="57" spans="3:27" x14ac:dyDescent="0.2">
      <c r="C57" s="16"/>
      <c r="D57" s="17" t="s">
        <v>16</v>
      </c>
      <c r="E57" s="21">
        <v>35</v>
      </c>
      <c r="F57" s="17" t="s">
        <v>15</v>
      </c>
      <c r="G57" s="28">
        <v>2500</v>
      </c>
      <c r="H57" s="22">
        <f>(G57)/E57</f>
        <v>71.428571428571431</v>
      </c>
      <c r="I57" t="s">
        <v>28</v>
      </c>
      <c r="M57" t="s">
        <v>34</v>
      </c>
      <c r="Q57" t="s">
        <v>49</v>
      </c>
      <c r="U57" t="s">
        <v>61</v>
      </c>
      <c r="Y57" t="s">
        <v>69</v>
      </c>
    </row>
    <row r="58" spans="3:27" x14ac:dyDescent="0.2">
      <c r="C58" s="24"/>
      <c r="D58" s="25"/>
      <c r="E58" s="26">
        <v>4</v>
      </c>
      <c r="F58" s="25" t="s">
        <v>17</v>
      </c>
      <c r="G58" s="29">
        <v>436.5</v>
      </c>
      <c r="H58" s="27">
        <f>(G58)/E58</f>
        <v>109.125</v>
      </c>
      <c r="I58" t="s">
        <v>29</v>
      </c>
      <c r="M58" t="s">
        <v>35</v>
      </c>
      <c r="Q58" t="s">
        <v>50</v>
      </c>
      <c r="U58" t="s">
        <v>62</v>
      </c>
      <c r="Y58" t="s">
        <v>70</v>
      </c>
    </row>
    <row r="59" spans="3:27" x14ac:dyDescent="0.2">
      <c r="C59" s="24"/>
      <c r="D59" s="25"/>
      <c r="E59" s="26">
        <v>36</v>
      </c>
      <c r="F59" s="25" t="s">
        <v>25</v>
      </c>
      <c r="G59" s="29">
        <v>3867</v>
      </c>
      <c r="H59" s="27">
        <f>(G59)/E59</f>
        <v>107.41666666666667</v>
      </c>
      <c r="I59" t="s">
        <v>30</v>
      </c>
      <c r="M59" t="s">
        <v>36</v>
      </c>
      <c r="Q59" t="s">
        <v>51</v>
      </c>
      <c r="U59" t="s">
        <v>63</v>
      </c>
      <c r="Y59" t="s">
        <v>22</v>
      </c>
    </row>
    <row r="60" spans="3:27" x14ac:dyDescent="0.2">
      <c r="C60" s="24"/>
      <c r="D60" s="25" t="s">
        <v>18</v>
      </c>
      <c r="E60" s="26">
        <v>70</v>
      </c>
      <c r="F60" s="25" t="s">
        <v>15</v>
      </c>
      <c r="G60" s="29">
        <v>268</v>
      </c>
      <c r="H60" s="27">
        <f t="shared" ref="H60:H61" si="24">(G60)/E60</f>
        <v>3.8285714285714287</v>
      </c>
      <c r="I60" t="s">
        <v>31</v>
      </c>
      <c r="M60" t="s">
        <v>37</v>
      </c>
      <c r="Q60" t="s">
        <v>52</v>
      </c>
      <c r="U60" t="s">
        <v>64</v>
      </c>
      <c r="Y60" t="s">
        <v>71</v>
      </c>
    </row>
    <row r="61" spans="3:27" ht="16" thickBot="1" x14ac:dyDescent="0.25">
      <c r="C61" s="18"/>
      <c r="D61" s="19" t="s">
        <v>21</v>
      </c>
      <c r="E61" s="20">
        <v>3</v>
      </c>
      <c r="F61" s="19" t="s">
        <v>15</v>
      </c>
      <c r="G61" s="30">
        <f>(500)</f>
        <v>500</v>
      </c>
      <c r="H61" s="23">
        <f t="shared" si="24"/>
        <v>166.66666666666666</v>
      </c>
      <c r="I61" t="s">
        <v>32</v>
      </c>
      <c r="M61" t="s">
        <v>38</v>
      </c>
      <c r="Q61" t="s">
        <v>53</v>
      </c>
      <c r="U61" t="s">
        <v>65</v>
      </c>
      <c r="Y61" t="s">
        <v>72</v>
      </c>
    </row>
    <row r="62" spans="3:27" x14ac:dyDescent="0.2">
      <c r="M62" t="s">
        <v>39</v>
      </c>
      <c r="Q62" t="s">
        <v>54</v>
      </c>
      <c r="U62" t="s">
        <v>66</v>
      </c>
    </row>
    <row r="63" spans="3:27" x14ac:dyDescent="0.2">
      <c r="M63" t="s">
        <v>40</v>
      </c>
      <c r="Q63" t="s">
        <v>55</v>
      </c>
    </row>
    <row r="64" spans="3:27" x14ac:dyDescent="0.2">
      <c r="M64" t="s">
        <v>41</v>
      </c>
      <c r="Q64" t="s">
        <v>56</v>
      </c>
    </row>
    <row r="65" spans="3:27" x14ac:dyDescent="0.2">
      <c r="M65" t="s">
        <v>42</v>
      </c>
      <c r="Q65" t="s">
        <v>57</v>
      </c>
    </row>
    <row r="66" spans="3:27" x14ac:dyDescent="0.2">
      <c r="M66" t="s">
        <v>43</v>
      </c>
      <c r="Q66" t="s">
        <v>58</v>
      </c>
    </row>
    <row r="67" spans="3:27" x14ac:dyDescent="0.2">
      <c r="M67" t="s">
        <v>44</v>
      </c>
    </row>
    <row r="68" spans="3:27" x14ac:dyDescent="0.2">
      <c r="M68" t="s">
        <v>45</v>
      </c>
    </row>
    <row r="69" spans="3:27" x14ac:dyDescent="0.2">
      <c r="M69" t="s">
        <v>46</v>
      </c>
    </row>
    <row r="70" spans="3:27" ht="16" thickBot="1" x14ac:dyDescent="0.25">
      <c r="C70" t="s">
        <v>10</v>
      </c>
    </row>
    <row r="71" spans="3:27" x14ac:dyDescent="0.2">
      <c r="C71" s="38" t="s">
        <v>74</v>
      </c>
      <c r="D71" s="42">
        <f t="shared" ref="D71:AA71" si="25">SUM(D6:D11)</f>
        <v>0</v>
      </c>
      <c r="E71" s="43">
        <f t="shared" si="25"/>
        <v>0</v>
      </c>
      <c r="F71" s="43">
        <f t="shared" si="25"/>
        <v>0</v>
      </c>
      <c r="G71" s="51">
        <f t="shared" si="25"/>
        <v>0</v>
      </c>
      <c r="H71" s="42">
        <f t="shared" si="25"/>
        <v>0</v>
      </c>
      <c r="I71" s="43">
        <f t="shared" si="25"/>
        <v>0</v>
      </c>
      <c r="J71" s="43">
        <f t="shared" si="25"/>
        <v>0</v>
      </c>
      <c r="K71" s="51">
        <f t="shared" si="25"/>
        <v>0</v>
      </c>
      <c r="L71" s="42">
        <f t="shared" si="25"/>
        <v>0</v>
      </c>
      <c r="M71" s="43">
        <f t="shared" si="25"/>
        <v>0</v>
      </c>
      <c r="N71" s="43">
        <f t="shared" si="25"/>
        <v>0</v>
      </c>
      <c r="O71" s="51">
        <f t="shared" si="25"/>
        <v>0</v>
      </c>
      <c r="P71" s="42">
        <f t="shared" si="25"/>
        <v>0</v>
      </c>
      <c r="Q71" s="43">
        <f t="shared" si="25"/>
        <v>0</v>
      </c>
      <c r="R71" s="43">
        <f t="shared" si="25"/>
        <v>0</v>
      </c>
      <c r="S71" s="51">
        <f t="shared" si="25"/>
        <v>0</v>
      </c>
      <c r="T71" s="42">
        <f t="shared" si="25"/>
        <v>0</v>
      </c>
      <c r="U71" s="43">
        <f t="shared" si="25"/>
        <v>0</v>
      </c>
      <c r="V71" s="43">
        <f t="shared" si="25"/>
        <v>0</v>
      </c>
      <c r="W71" s="51">
        <f t="shared" si="25"/>
        <v>0</v>
      </c>
      <c r="X71" s="42">
        <f t="shared" si="25"/>
        <v>0</v>
      </c>
      <c r="Y71" s="43">
        <f t="shared" si="25"/>
        <v>0</v>
      </c>
      <c r="Z71" s="43">
        <f t="shared" si="25"/>
        <v>0</v>
      </c>
      <c r="AA71" s="51">
        <f t="shared" si="25"/>
        <v>0</v>
      </c>
    </row>
    <row r="72" spans="3:27" x14ac:dyDescent="0.2">
      <c r="C72" s="39" t="s">
        <v>75</v>
      </c>
      <c r="D72" s="44">
        <f t="shared" ref="D72:AA72" si="26">SUM(D12:D21)</f>
        <v>0</v>
      </c>
      <c r="E72" s="45">
        <f t="shared" si="26"/>
        <v>62</v>
      </c>
      <c r="F72" s="45">
        <f t="shared" si="26"/>
        <v>4709</v>
      </c>
      <c r="G72" s="52">
        <f t="shared" si="26"/>
        <v>4771</v>
      </c>
      <c r="H72" s="44">
        <f t="shared" si="26"/>
        <v>0</v>
      </c>
      <c r="I72" s="45">
        <f t="shared" si="26"/>
        <v>0</v>
      </c>
      <c r="J72" s="45">
        <f t="shared" si="26"/>
        <v>0</v>
      </c>
      <c r="K72" s="52">
        <f t="shared" si="26"/>
        <v>0</v>
      </c>
      <c r="L72" s="44">
        <f t="shared" si="26"/>
        <v>0</v>
      </c>
      <c r="M72" s="45">
        <f t="shared" si="26"/>
        <v>4</v>
      </c>
      <c r="N72" s="45">
        <f t="shared" si="26"/>
        <v>61</v>
      </c>
      <c r="O72" s="52">
        <f t="shared" si="26"/>
        <v>65</v>
      </c>
      <c r="P72" s="44">
        <f t="shared" si="26"/>
        <v>3</v>
      </c>
      <c r="Q72" s="45">
        <f t="shared" si="26"/>
        <v>270</v>
      </c>
      <c r="R72" s="45">
        <f t="shared" si="26"/>
        <v>3735</v>
      </c>
      <c r="S72" s="52">
        <f t="shared" si="26"/>
        <v>4008</v>
      </c>
      <c r="T72" s="44">
        <f t="shared" si="26"/>
        <v>0</v>
      </c>
      <c r="U72" s="45">
        <f t="shared" si="26"/>
        <v>45</v>
      </c>
      <c r="V72" s="45">
        <f t="shared" si="26"/>
        <v>108</v>
      </c>
      <c r="W72" s="52">
        <f t="shared" si="26"/>
        <v>153</v>
      </c>
      <c r="X72" s="44">
        <f t="shared" si="26"/>
        <v>0</v>
      </c>
      <c r="Y72" s="45">
        <f t="shared" si="26"/>
        <v>0</v>
      </c>
      <c r="Z72" s="45">
        <f t="shared" si="26"/>
        <v>0</v>
      </c>
      <c r="AA72" s="52">
        <f t="shared" si="26"/>
        <v>0</v>
      </c>
    </row>
    <row r="73" spans="3:27" x14ac:dyDescent="0.2">
      <c r="C73" s="39" t="s">
        <v>76</v>
      </c>
      <c r="D73" s="44">
        <f t="shared" ref="D73:AA73" si="27">SUM(D22:D31)</f>
        <v>2</v>
      </c>
      <c r="E73" s="45">
        <f t="shared" si="27"/>
        <v>427</v>
      </c>
      <c r="F73" s="45">
        <f t="shared" si="27"/>
        <v>17271</v>
      </c>
      <c r="G73" s="52">
        <f t="shared" si="27"/>
        <v>17700</v>
      </c>
      <c r="H73" s="44">
        <f t="shared" si="27"/>
        <v>1</v>
      </c>
      <c r="I73" s="45">
        <f t="shared" si="27"/>
        <v>0</v>
      </c>
      <c r="J73" s="45">
        <f t="shared" si="27"/>
        <v>27</v>
      </c>
      <c r="K73" s="52">
        <f t="shared" si="27"/>
        <v>28</v>
      </c>
      <c r="L73" s="44">
        <f t="shared" si="27"/>
        <v>0</v>
      </c>
      <c r="M73" s="45">
        <f t="shared" si="27"/>
        <v>8</v>
      </c>
      <c r="N73" s="45">
        <f t="shared" si="27"/>
        <v>59</v>
      </c>
      <c r="O73" s="52">
        <f t="shared" si="27"/>
        <v>67</v>
      </c>
      <c r="P73" s="44">
        <f t="shared" si="27"/>
        <v>0</v>
      </c>
      <c r="Q73" s="45">
        <f t="shared" si="27"/>
        <v>3339</v>
      </c>
      <c r="R73" s="45">
        <f t="shared" si="27"/>
        <v>172230</v>
      </c>
      <c r="S73" s="52">
        <f t="shared" si="27"/>
        <v>175569</v>
      </c>
      <c r="T73" s="44">
        <f t="shared" si="27"/>
        <v>0</v>
      </c>
      <c r="U73" s="45">
        <f t="shared" si="27"/>
        <v>140</v>
      </c>
      <c r="V73" s="45">
        <f t="shared" si="27"/>
        <v>12016</v>
      </c>
      <c r="W73" s="52">
        <f t="shared" si="27"/>
        <v>12156</v>
      </c>
      <c r="X73" s="44">
        <f t="shared" si="27"/>
        <v>0</v>
      </c>
      <c r="Y73" s="45">
        <f t="shared" si="27"/>
        <v>0</v>
      </c>
      <c r="Z73" s="45">
        <f t="shared" si="27"/>
        <v>0</v>
      </c>
      <c r="AA73" s="52">
        <f t="shared" si="27"/>
        <v>0</v>
      </c>
    </row>
    <row r="74" spans="3:27" x14ac:dyDescent="0.2">
      <c r="C74" s="39" t="s">
        <v>77</v>
      </c>
      <c r="D74" s="44">
        <f t="shared" ref="D74:AA74" si="28">SUM(D32:D41)</f>
        <v>307</v>
      </c>
      <c r="E74" s="45">
        <f t="shared" si="28"/>
        <v>1376</v>
      </c>
      <c r="F74" s="45">
        <f t="shared" si="28"/>
        <v>12561</v>
      </c>
      <c r="G74" s="52">
        <f t="shared" si="28"/>
        <v>14244</v>
      </c>
      <c r="H74" s="44">
        <f t="shared" si="28"/>
        <v>5</v>
      </c>
      <c r="I74" s="45">
        <f t="shared" si="28"/>
        <v>0</v>
      </c>
      <c r="J74" s="45">
        <f t="shared" si="28"/>
        <v>4</v>
      </c>
      <c r="K74" s="52">
        <f t="shared" si="28"/>
        <v>9</v>
      </c>
      <c r="L74" s="44">
        <f t="shared" si="28"/>
        <v>1</v>
      </c>
      <c r="M74" s="45">
        <f t="shared" si="28"/>
        <v>57</v>
      </c>
      <c r="N74" s="45">
        <f t="shared" si="28"/>
        <v>196</v>
      </c>
      <c r="O74" s="52">
        <f t="shared" si="28"/>
        <v>254</v>
      </c>
      <c r="P74" s="44">
        <f t="shared" si="28"/>
        <v>0</v>
      </c>
      <c r="Q74" s="45">
        <f t="shared" si="28"/>
        <v>3769</v>
      </c>
      <c r="R74" s="45">
        <f t="shared" si="28"/>
        <v>71719</v>
      </c>
      <c r="S74" s="52">
        <f t="shared" si="28"/>
        <v>75488</v>
      </c>
      <c r="T74" s="44">
        <f t="shared" si="28"/>
        <v>0</v>
      </c>
      <c r="U74" s="45">
        <f t="shared" si="28"/>
        <v>100</v>
      </c>
      <c r="V74" s="45">
        <f t="shared" si="28"/>
        <v>406</v>
      </c>
      <c r="W74" s="52">
        <f t="shared" si="28"/>
        <v>506</v>
      </c>
      <c r="X74" s="44">
        <f t="shared" si="28"/>
        <v>0</v>
      </c>
      <c r="Y74" s="45">
        <f t="shared" si="28"/>
        <v>0</v>
      </c>
      <c r="Z74" s="45">
        <f t="shared" si="28"/>
        <v>0</v>
      </c>
      <c r="AA74" s="52">
        <f t="shared" si="28"/>
        <v>0</v>
      </c>
    </row>
    <row r="75" spans="3:27" x14ac:dyDescent="0.2">
      <c r="C75" s="39" t="s">
        <v>78</v>
      </c>
      <c r="D75" s="44">
        <f t="shared" ref="D75:AA75" si="29">SUM(D42:D46)</f>
        <v>85</v>
      </c>
      <c r="E75" s="45">
        <f t="shared" si="29"/>
        <v>1407</v>
      </c>
      <c r="F75" s="45">
        <f t="shared" si="29"/>
        <v>12139</v>
      </c>
      <c r="G75" s="52">
        <f t="shared" si="29"/>
        <v>13631</v>
      </c>
      <c r="H75" s="44">
        <f t="shared" si="29"/>
        <v>0</v>
      </c>
      <c r="I75" s="45">
        <f t="shared" si="29"/>
        <v>0</v>
      </c>
      <c r="J75" s="45">
        <f t="shared" si="29"/>
        <v>0</v>
      </c>
      <c r="K75" s="52">
        <f t="shared" si="29"/>
        <v>0</v>
      </c>
      <c r="L75" s="44">
        <f t="shared" si="29"/>
        <v>19</v>
      </c>
      <c r="M75" s="45">
        <f t="shared" si="29"/>
        <v>17</v>
      </c>
      <c r="N75" s="45">
        <f t="shared" si="29"/>
        <v>27</v>
      </c>
      <c r="O75" s="52">
        <f t="shared" si="29"/>
        <v>63</v>
      </c>
      <c r="P75" s="44">
        <f t="shared" si="29"/>
        <v>0</v>
      </c>
      <c r="Q75" s="45">
        <f t="shared" si="29"/>
        <v>1339</v>
      </c>
      <c r="R75" s="45">
        <f t="shared" si="29"/>
        <v>18087</v>
      </c>
      <c r="S75" s="52">
        <f t="shared" si="29"/>
        <v>19426</v>
      </c>
      <c r="T75" s="44">
        <f t="shared" si="29"/>
        <v>0</v>
      </c>
      <c r="U75" s="45">
        <f t="shared" si="29"/>
        <v>7</v>
      </c>
      <c r="V75" s="45">
        <f t="shared" si="29"/>
        <v>153</v>
      </c>
      <c r="W75" s="52">
        <f t="shared" si="29"/>
        <v>160</v>
      </c>
      <c r="X75" s="44">
        <f t="shared" si="29"/>
        <v>0</v>
      </c>
      <c r="Y75" s="45">
        <f t="shared" si="29"/>
        <v>0</v>
      </c>
      <c r="Z75" s="45">
        <f t="shared" si="29"/>
        <v>0</v>
      </c>
      <c r="AA75" s="52">
        <f t="shared" si="29"/>
        <v>0</v>
      </c>
    </row>
    <row r="76" spans="3:27" ht="16" thickBot="1" x14ac:dyDescent="0.25">
      <c r="C76" s="40" t="s">
        <v>79</v>
      </c>
      <c r="D76" s="46">
        <f t="shared" ref="D76:AA76" si="30">SUM(D47:D53)</f>
        <v>64</v>
      </c>
      <c r="E76" s="47">
        <f t="shared" si="30"/>
        <v>1452</v>
      </c>
      <c r="F76" s="47">
        <f t="shared" si="30"/>
        <v>2959</v>
      </c>
      <c r="G76" s="53">
        <f t="shared" si="30"/>
        <v>4475</v>
      </c>
      <c r="H76" s="46">
        <f t="shared" si="30"/>
        <v>0</v>
      </c>
      <c r="I76" s="47">
        <f t="shared" si="30"/>
        <v>4</v>
      </c>
      <c r="J76" s="47">
        <f t="shared" si="30"/>
        <v>4</v>
      </c>
      <c r="K76" s="53">
        <f t="shared" si="30"/>
        <v>8</v>
      </c>
      <c r="L76" s="46">
        <f t="shared" si="30"/>
        <v>0</v>
      </c>
      <c r="M76" s="47">
        <f t="shared" si="30"/>
        <v>27</v>
      </c>
      <c r="N76" s="47">
        <f t="shared" si="30"/>
        <v>177</v>
      </c>
      <c r="O76" s="53">
        <f t="shared" si="30"/>
        <v>204</v>
      </c>
      <c r="P76" s="46">
        <f t="shared" si="30"/>
        <v>0</v>
      </c>
      <c r="Q76" s="47">
        <f t="shared" si="30"/>
        <v>1291</v>
      </c>
      <c r="R76" s="47">
        <f t="shared" si="30"/>
        <v>6414</v>
      </c>
      <c r="S76" s="53">
        <f t="shared" si="30"/>
        <v>7705</v>
      </c>
      <c r="T76" s="46">
        <f t="shared" si="30"/>
        <v>0</v>
      </c>
      <c r="U76" s="47">
        <f t="shared" si="30"/>
        <v>17</v>
      </c>
      <c r="V76" s="47">
        <f t="shared" si="30"/>
        <v>40</v>
      </c>
      <c r="W76" s="53">
        <f t="shared" si="30"/>
        <v>57</v>
      </c>
      <c r="X76" s="46">
        <f t="shared" si="30"/>
        <v>0</v>
      </c>
      <c r="Y76" s="47">
        <f t="shared" si="30"/>
        <v>0</v>
      </c>
      <c r="Z76" s="47">
        <f t="shared" si="30"/>
        <v>0</v>
      </c>
      <c r="AA76" s="53">
        <f t="shared" si="30"/>
        <v>0</v>
      </c>
    </row>
    <row r="77" spans="3:27" ht="16" thickBot="1" x14ac:dyDescent="0.25">
      <c r="C77" s="41" t="s">
        <v>11</v>
      </c>
      <c r="D77" s="48">
        <f>SUM(D71:D76)</f>
        <v>458</v>
      </c>
      <c r="E77" s="49">
        <f t="shared" ref="E77:AA77" si="31">SUM(E71:E76)</f>
        <v>4724</v>
      </c>
      <c r="F77" s="49">
        <f t="shared" si="31"/>
        <v>49639</v>
      </c>
      <c r="G77" s="54">
        <f t="shared" si="31"/>
        <v>54821</v>
      </c>
      <c r="H77" s="50">
        <f t="shared" si="31"/>
        <v>6</v>
      </c>
      <c r="I77" s="49">
        <f t="shared" si="31"/>
        <v>4</v>
      </c>
      <c r="J77" s="49">
        <f t="shared" si="31"/>
        <v>35</v>
      </c>
      <c r="K77" s="54">
        <f t="shared" si="31"/>
        <v>45</v>
      </c>
      <c r="L77" s="50">
        <f t="shared" si="31"/>
        <v>20</v>
      </c>
      <c r="M77" s="49">
        <f t="shared" si="31"/>
        <v>113</v>
      </c>
      <c r="N77" s="49">
        <f t="shared" si="31"/>
        <v>520</v>
      </c>
      <c r="O77" s="54">
        <f t="shared" si="31"/>
        <v>653</v>
      </c>
      <c r="P77" s="50">
        <f t="shared" si="31"/>
        <v>3</v>
      </c>
      <c r="Q77" s="49">
        <f t="shared" si="31"/>
        <v>10008</v>
      </c>
      <c r="R77" s="49">
        <f t="shared" si="31"/>
        <v>272185</v>
      </c>
      <c r="S77" s="54">
        <f t="shared" si="31"/>
        <v>282196</v>
      </c>
      <c r="T77" s="50">
        <f t="shared" si="31"/>
        <v>0</v>
      </c>
      <c r="U77" s="49">
        <f t="shared" si="31"/>
        <v>309</v>
      </c>
      <c r="V77" s="49">
        <f t="shared" si="31"/>
        <v>12723</v>
      </c>
      <c r="W77" s="54">
        <f t="shared" si="31"/>
        <v>13032</v>
      </c>
      <c r="X77" s="50">
        <f t="shared" si="31"/>
        <v>0</v>
      </c>
      <c r="Y77" s="49">
        <f t="shared" si="31"/>
        <v>0</v>
      </c>
      <c r="Z77" s="49">
        <f t="shared" si="31"/>
        <v>0</v>
      </c>
      <c r="AA77" s="54">
        <f t="shared" si="31"/>
        <v>0</v>
      </c>
    </row>
  </sheetData>
  <mergeCells count="9">
    <mergeCell ref="C3:C5"/>
    <mergeCell ref="C2:AA2"/>
    <mergeCell ref="H3:AA3"/>
    <mergeCell ref="D4:F4"/>
    <mergeCell ref="H4:J4"/>
    <mergeCell ref="L4:N4"/>
    <mergeCell ref="P4:R4"/>
    <mergeCell ref="T4:V4"/>
    <mergeCell ref="X4:Z4"/>
  </mergeCells>
  <pageMargins left="0.25" right="0.25" top="0.75" bottom="0.75" header="0.3" footer="0.3"/>
  <pageSetup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Furstenburg</dc:creator>
  <cp:lastModifiedBy>Microsoft Office User</cp:lastModifiedBy>
  <cp:lastPrinted>2022-11-08T11:35:21Z</cp:lastPrinted>
  <dcterms:created xsi:type="dcterms:W3CDTF">2015-06-05T18:17:20Z</dcterms:created>
  <dcterms:modified xsi:type="dcterms:W3CDTF">2022-11-12T09:06:00Z</dcterms:modified>
</cp:coreProperties>
</file>